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840" windowHeight="10455" tabRatio="803" activeTab="12"/>
  </bookViews>
  <sheets>
    <sheet name="Conso1" sheetId="1" r:id="rId1"/>
    <sheet name="Conso2" sheetId="2" r:id="rId2"/>
    <sheet name="Conso3" sheetId="3" r:id="rId3"/>
    <sheet name="Conso4" sheetId="4" r:id="rId4"/>
    <sheet name="Conso5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Récap" sheetId="13" r:id="rId13"/>
  </sheets>
  <definedNames/>
  <calcPr fullCalcOnLoad="1"/>
</workbook>
</file>

<file path=xl/sharedStrings.xml><?xml version="1.0" encoding="utf-8"?>
<sst xmlns="http://schemas.openxmlformats.org/spreadsheetml/2006/main" count="220" uniqueCount="45">
  <si>
    <t>Date</t>
  </si>
  <si>
    <t>Kms
compteur</t>
  </si>
  <si>
    <t>Kms
parcourus</t>
  </si>
  <si>
    <t>Plein</t>
  </si>
  <si>
    <t>Litres</t>
  </si>
  <si>
    <t>Cons</t>
  </si>
  <si>
    <t>Moy</t>
  </si>
  <si>
    <t>Prix</t>
  </si>
  <si>
    <t>TOTAL</t>
  </si>
  <si>
    <t>Mai</t>
  </si>
  <si>
    <t>Total</t>
  </si>
  <si>
    <t>Moyenne</t>
  </si>
  <si>
    <t>Budget</t>
  </si>
  <si>
    <t>Jan</t>
  </si>
  <si>
    <t>Fév</t>
  </si>
  <si>
    <t>Mar</t>
  </si>
  <si>
    <t>Avr</t>
  </si>
  <si>
    <t>Jun</t>
  </si>
  <si>
    <t>Jui</t>
  </si>
  <si>
    <t>Aou</t>
  </si>
  <si>
    <t>Sep</t>
  </si>
  <si>
    <t>Oct</t>
  </si>
  <si>
    <t>Nov</t>
  </si>
  <si>
    <t>Dec</t>
  </si>
  <si>
    <t>Kms</t>
  </si>
  <si>
    <t>Cons.</t>
  </si>
  <si>
    <t>Prix du litre</t>
  </si>
  <si>
    <t>Année</t>
  </si>
  <si>
    <t>Prix au Litre</t>
  </si>
  <si>
    <t>Conso</t>
  </si>
  <si>
    <t>Budget ( € )</t>
  </si>
  <si>
    <t>Vitesse 
Moyenne</t>
  </si>
  <si>
    <t>Prix moyen de l'essence</t>
  </si>
  <si>
    <t>Achat</t>
  </si>
  <si>
    <t>Prix 
Essence</t>
  </si>
  <si>
    <t>,</t>
  </si>
  <si>
    <t>(Circuit du Mans)</t>
  </si>
  <si>
    <t>Vive le cruise control ;o)</t>
  </si>
  <si>
    <t>Bouchons parisiens :o(</t>
  </si>
  <si>
    <t>encore des petits trajets</t>
  </si>
  <si>
    <t>retour sur Paris</t>
  </si>
  <si>
    <t>W.E. hors de Paris</t>
  </si>
  <si>
    <t>Bouchons, bouchons…</t>
  </si>
  <si>
    <t xml:space="preserve">Ah la province sans embouteillages !!!
</t>
  </si>
  <si>
    <t>que de la ville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</si>
</sst>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\ [$€-1];[Red]\-#,##0.00\ [$€-1]"/>
    <numFmt numFmtId="186" formatCode="[$$-C09]#,##0.00;[Red]\-[$$-C09]#,##0.00"/>
    <numFmt numFmtId="187" formatCode="#,##0\ [$€-1];\-#,##0\ [$€-1]"/>
    <numFmt numFmtId="188" formatCode="_-* #,##0.00\ [$€-1]_-;\-* #,##0.00\ [$€-1]_-;_-* &quot;-&quot;??\ [$€-1]_-"/>
    <numFmt numFmtId="189" formatCode="_-* #,##0.00\ [$€-1]_-;\-* #,##0.00\ [$€-1]_-;_-* &quot;-&quot;??\ [$€-1]_-;_-@_-"/>
    <numFmt numFmtId="190" formatCode="#,##0.00\ [$€];[Red]\-#,##0.00\ [$€]"/>
    <numFmt numFmtId="191" formatCode="#,##0.00\ &quot;€&quot;"/>
    <numFmt numFmtId="192" formatCode="#,##0\ &quot;€&quot;"/>
    <numFmt numFmtId="193" formatCode="0.0"/>
    <numFmt numFmtId="194" formatCode="#,##0.0\ [$€];[Red]\-#,##0.0\ [$€]"/>
    <numFmt numFmtId="195" formatCode="#,##0\ [$€];[Red]\-#,##0\ [$€]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3.5"/>
      <name val="MS Sans Serif"/>
      <family val="0"/>
    </font>
    <font>
      <sz val="8"/>
      <name val="Times New Roman"/>
      <family val="0"/>
    </font>
    <font>
      <b/>
      <sz val="10"/>
      <name val="Times New Roman"/>
      <family val="0"/>
    </font>
    <font>
      <u val="single"/>
      <sz val="10"/>
      <name val="Times New Roman"/>
      <family val="1"/>
    </font>
    <font>
      <b/>
      <sz val="8"/>
      <name val="Times New Roman"/>
      <family val="0"/>
    </font>
    <font>
      <b/>
      <sz val="13.5"/>
      <color indexed="56"/>
      <name val="MS Sans Serif"/>
      <family val="2"/>
    </font>
    <font>
      <b/>
      <sz val="8"/>
      <name val="Arial"/>
      <family val="0"/>
    </font>
    <font>
      <sz val="8"/>
      <name val="Arial"/>
      <family val="0"/>
    </font>
    <font>
      <sz val="5.75"/>
      <name val="Arial"/>
      <family val="0"/>
    </font>
    <font>
      <b/>
      <u val="single"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2"/>
      <name val="MS Sans Serif"/>
      <family val="2"/>
    </font>
    <font>
      <sz val="11"/>
      <name val="Times New Roman"/>
      <family val="1"/>
    </font>
    <font>
      <sz val="11"/>
      <name val="MS Sans Serif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50"/>
      <name val="MS Sans Serif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67" fontId="5" fillId="0" borderId="0" xfId="18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7" fontId="10" fillId="0" borderId="0" xfId="18" applyFont="1" applyAlignment="1">
      <alignment horizont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13" xfId="0" applyFont="1" applyBorder="1" applyAlignment="1">
      <alignment horizontal="center"/>
    </xf>
    <xf numFmtId="14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2" fontId="0" fillId="0" borderId="11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167" fontId="0" fillId="0" borderId="15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0" fillId="0" borderId="19" xfId="0" applyNumberFormat="1" applyFont="1" applyFill="1" applyBorder="1" applyAlignment="1">
      <alignment horizontal="centerContinuous" vertical="center" wrapText="1"/>
    </xf>
    <xf numFmtId="2" fontId="0" fillId="0" borderId="20" xfId="0" applyNumberFormat="1" applyFont="1" applyFill="1" applyBorder="1" applyAlignment="1">
      <alignment horizontal="centerContinuous"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0" fillId="0" borderId="21" xfId="0" applyNumberFormat="1" applyFont="1" applyFill="1" applyBorder="1" applyAlignment="1">
      <alignment horizontal="centerContinuous" vertical="center" wrapText="1"/>
    </xf>
    <xf numFmtId="14" fontId="0" fillId="0" borderId="22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 quotePrefix="1">
      <alignment/>
    </xf>
    <xf numFmtId="2" fontId="0" fillId="0" borderId="1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 quotePrefix="1">
      <alignment/>
    </xf>
    <xf numFmtId="2" fontId="0" fillId="0" borderId="2" xfId="0" applyNumberFormat="1" applyFont="1" applyFill="1" applyBorder="1" applyAlignment="1">
      <alignment/>
    </xf>
    <xf numFmtId="14" fontId="0" fillId="0" borderId="1" xfId="0" applyNumberFormat="1" applyFont="1" applyFill="1" applyBorder="1" applyAlignment="1" quotePrefix="1">
      <alignment horizontal="center"/>
    </xf>
    <xf numFmtId="14" fontId="0" fillId="0" borderId="4" xfId="0" applyNumberFormat="1" applyFont="1" applyFill="1" applyBorder="1" applyAlignment="1" quotePrefix="1">
      <alignment horizontal="center"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quotePrefix="1">
      <alignment/>
    </xf>
    <xf numFmtId="2" fontId="0" fillId="0" borderId="18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quotePrefix="1">
      <alignment/>
    </xf>
    <xf numFmtId="2" fontId="0" fillId="0" borderId="23" xfId="0" applyNumberFormat="1" applyFont="1" applyFill="1" applyBorder="1" applyAlignment="1">
      <alignment/>
    </xf>
    <xf numFmtId="2" fontId="5" fillId="0" borderId="0" xfId="18" applyNumberFormat="1" applyFont="1" applyBorder="1" applyAlignment="1">
      <alignment horizontal="center"/>
    </xf>
    <xf numFmtId="185" fontId="5" fillId="0" borderId="2" xfId="18" applyNumberFormat="1" applyFont="1" applyBorder="1" applyAlignment="1">
      <alignment horizontal="center"/>
    </xf>
    <xf numFmtId="185" fontId="5" fillId="0" borderId="3" xfId="18" applyNumberFormat="1" applyFont="1" applyBorder="1" applyAlignment="1">
      <alignment/>
    </xf>
    <xf numFmtId="185" fontId="5" fillId="0" borderId="18" xfId="18" applyNumberFormat="1" applyFont="1" applyBorder="1" applyAlignment="1">
      <alignment horizontal="center"/>
    </xf>
    <xf numFmtId="185" fontId="5" fillId="0" borderId="10" xfId="18" applyNumberFormat="1" applyFont="1" applyBorder="1" applyAlignment="1">
      <alignment horizontal="center"/>
    </xf>
    <xf numFmtId="185" fontId="5" fillId="0" borderId="3" xfId="18" applyNumberFormat="1" applyFont="1" applyBorder="1" applyAlignment="1">
      <alignment horizontal="center"/>
    </xf>
    <xf numFmtId="186" fontId="5" fillId="0" borderId="2" xfId="18" applyNumberFormat="1" applyFont="1" applyBorder="1" applyAlignment="1">
      <alignment horizontal="center"/>
    </xf>
    <xf numFmtId="186" fontId="5" fillId="0" borderId="3" xfId="18" applyNumberFormat="1" applyFont="1" applyBorder="1" applyAlignment="1">
      <alignment/>
    </xf>
    <xf numFmtId="186" fontId="5" fillId="0" borderId="18" xfId="18" applyNumberFormat="1" applyFont="1" applyBorder="1" applyAlignment="1">
      <alignment horizontal="center"/>
    </xf>
    <xf numFmtId="186" fontId="5" fillId="0" borderId="10" xfId="18" applyNumberFormat="1" applyFont="1" applyBorder="1" applyAlignment="1">
      <alignment horizontal="center"/>
    </xf>
    <xf numFmtId="185" fontId="5" fillId="0" borderId="24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90" fontId="0" fillId="0" borderId="12" xfId="15" applyFont="1" applyFill="1" applyBorder="1" applyAlignment="1">
      <alignment/>
    </xf>
    <xf numFmtId="190" fontId="0" fillId="0" borderId="3" xfId="15" applyFont="1" applyFill="1" applyBorder="1" applyAlignment="1">
      <alignment/>
    </xf>
    <xf numFmtId="190" fontId="0" fillId="0" borderId="10" xfId="15" applyFont="1" applyFill="1" applyBorder="1" applyAlignment="1">
      <alignment/>
    </xf>
    <xf numFmtId="190" fontId="0" fillId="0" borderId="30" xfId="15" applyFont="1" applyFill="1" applyBorder="1" applyAlignment="1">
      <alignment/>
    </xf>
    <xf numFmtId="190" fontId="5" fillId="0" borderId="18" xfId="15" applyFont="1" applyBorder="1" applyAlignment="1">
      <alignment horizontal="center"/>
    </xf>
    <xf numFmtId="190" fontId="5" fillId="0" borderId="10" xfId="15" applyFont="1" applyBorder="1" applyAlignment="1">
      <alignment/>
    </xf>
    <xf numFmtId="190" fontId="5" fillId="0" borderId="2" xfId="15" applyFont="1" applyBorder="1" applyAlignment="1">
      <alignment horizontal="center"/>
    </xf>
    <xf numFmtId="190" fontId="5" fillId="0" borderId="31" xfId="15" applyFont="1" applyBorder="1" applyAlignment="1">
      <alignment/>
    </xf>
    <xf numFmtId="190" fontId="5" fillId="0" borderId="32" xfId="15" applyFont="1" applyBorder="1" applyAlignment="1">
      <alignment horizontal="center"/>
    </xf>
    <xf numFmtId="190" fontId="5" fillId="0" borderId="25" xfId="15" applyFont="1" applyBorder="1" applyAlignment="1">
      <alignment horizontal="center"/>
    </xf>
    <xf numFmtId="190" fontId="5" fillId="2" borderId="8" xfId="15" applyFont="1" applyFill="1" applyBorder="1" applyAlignment="1">
      <alignment horizontal="center"/>
    </xf>
    <xf numFmtId="190" fontId="16" fillId="2" borderId="0" xfId="15" applyFont="1" applyFill="1" applyAlignment="1">
      <alignment horizontal="center"/>
    </xf>
    <xf numFmtId="184" fontId="0" fillId="0" borderId="21" xfId="0" applyNumberFormat="1" applyFont="1" applyFill="1" applyBorder="1" applyAlignment="1">
      <alignment horizontal="centerContinuous" vertical="center" wrapText="1"/>
    </xf>
    <xf numFmtId="184" fontId="0" fillId="0" borderId="12" xfId="15" applyNumberFormat="1" applyFont="1" applyFill="1" applyBorder="1" applyAlignment="1">
      <alignment/>
    </xf>
    <xf numFmtId="184" fontId="0" fillId="0" borderId="3" xfId="15" applyNumberFormat="1" applyFont="1" applyFill="1" applyBorder="1" applyAlignment="1">
      <alignment/>
    </xf>
    <xf numFmtId="184" fontId="0" fillId="0" borderId="10" xfId="15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2" fontId="17" fillId="3" borderId="9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184" fontId="18" fillId="0" borderId="30" xfId="15" applyNumberFormat="1" applyFont="1" applyFill="1" applyBorder="1" applyAlignment="1">
      <alignment/>
    </xf>
    <xf numFmtId="2" fontId="18" fillId="0" borderId="30" xfId="15" applyNumberFormat="1" applyFont="1" applyFill="1" applyBorder="1" applyAlignment="1">
      <alignment/>
    </xf>
    <xf numFmtId="1" fontId="18" fillId="0" borderId="23" xfId="0" applyNumberFormat="1" applyFont="1" applyFill="1" applyBorder="1" applyAlignment="1">
      <alignment/>
    </xf>
    <xf numFmtId="14" fontId="1" fillId="0" borderId="1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quotePrefix="1">
      <alignment/>
    </xf>
    <xf numFmtId="2" fontId="1" fillId="0" borderId="2" xfId="0" applyNumberFormat="1" applyFont="1" applyFill="1" applyBorder="1" applyAlignment="1">
      <alignment/>
    </xf>
    <xf numFmtId="190" fontId="1" fillId="0" borderId="3" xfId="15" applyFont="1" applyFill="1" applyBorder="1" applyAlignment="1">
      <alignment/>
    </xf>
    <xf numFmtId="167" fontId="1" fillId="0" borderId="1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18" applyNumberFormat="1" applyAlignment="1">
      <alignment/>
    </xf>
    <xf numFmtId="14" fontId="0" fillId="0" borderId="34" xfId="0" applyNumberFormat="1" applyFont="1" applyFill="1" applyBorder="1" applyAlignment="1" quotePrefix="1">
      <alignment horizontal="center"/>
    </xf>
    <xf numFmtId="1" fontId="0" fillId="0" borderId="35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 quotePrefix="1">
      <alignment/>
    </xf>
    <xf numFmtId="2" fontId="0" fillId="0" borderId="35" xfId="0" applyNumberFormat="1" applyFont="1" applyFill="1" applyBorder="1" applyAlignment="1">
      <alignment/>
    </xf>
    <xf numFmtId="190" fontId="0" fillId="0" borderId="36" xfId="15" applyFont="1" applyFill="1" applyBorder="1" applyAlignment="1">
      <alignment/>
    </xf>
    <xf numFmtId="167" fontId="0" fillId="0" borderId="37" xfId="0" applyNumberFormat="1" applyFont="1" applyBorder="1" applyAlignment="1">
      <alignment/>
    </xf>
    <xf numFmtId="0" fontId="19" fillId="0" borderId="5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" fontId="19" fillId="0" borderId="35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19" fillId="0" borderId="6" xfId="18" applyNumberFormat="1" applyFont="1" applyBorder="1" applyAlignment="1">
      <alignment/>
    </xf>
    <xf numFmtId="2" fontId="19" fillId="0" borderId="40" xfId="18" applyNumberFormat="1" applyFont="1" applyBorder="1" applyAlignment="1">
      <alignment horizontal="center"/>
    </xf>
    <xf numFmtId="2" fontId="19" fillId="0" borderId="2" xfId="18" applyNumberFormat="1" applyFont="1" applyBorder="1" applyAlignment="1">
      <alignment horizontal="center"/>
    </xf>
    <xf numFmtId="2" fontId="19" fillId="0" borderId="3" xfId="18" applyNumberFormat="1" applyFont="1" applyBorder="1" applyAlignment="1">
      <alignment horizontal="center"/>
    </xf>
    <xf numFmtId="0" fontId="19" fillId="0" borderId="7" xfId="0" applyFont="1" applyBorder="1" applyAlignment="1">
      <alignment/>
    </xf>
    <xf numFmtId="190" fontId="19" fillId="0" borderId="41" xfId="15" applyFont="1" applyBorder="1" applyAlignment="1">
      <alignment horizontal="center"/>
    </xf>
    <xf numFmtId="190" fontId="19" fillId="0" borderId="18" xfId="15" applyFont="1" applyBorder="1" applyAlignment="1">
      <alignment horizontal="center"/>
    </xf>
    <xf numFmtId="190" fontId="19" fillId="0" borderId="10" xfId="15" applyFont="1" applyBorder="1" applyAlignment="1">
      <alignment horizontal="center"/>
    </xf>
    <xf numFmtId="0" fontId="19" fillId="0" borderId="0" xfId="0" applyFont="1" applyBorder="1" applyAlignment="1">
      <alignment/>
    </xf>
    <xf numFmtId="190" fontId="19" fillId="0" borderId="0" xfId="15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8" xfId="0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185" fontId="22" fillId="0" borderId="24" xfId="0" applyNumberFormat="1" applyFont="1" applyBorder="1" applyAlignment="1">
      <alignment horizontal="center"/>
    </xf>
    <xf numFmtId="185" fontId="21" fillId="0" borderId="24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95" fontId="5" fillId="0" borderId="8" xfId="0" applyNumberFormat="1" applyFont="1" applyBorder="1" applyAlignment="1">
      <alignment horizontal="center"/>
    </xf>
    <xf numFmtId="195" fontId="5" fillId="0" borderId="24" xfId="0" applyNumberFormat="1" applyFont="1" applyBorder="1" applyAlignment="1">
      <alignment horizontal="center"/>
    </xf>
    <xf numFmtId="195" fontId="21" fillId="0" borderId="24" xfId="0" applyNumberFormat="1" applyFont="1" applyBorder="1" applyAlignment="1">
      <alignment horizontal="center"/>
    </xf>
    <xf numFmtId="195" fontId="22" fillId="0" borderId="24" xfId="0" applyNumberFormat="1" applyFont="1" applyBorder="1" applyAlignment="1">
      <alignment horizontal="center"/>
    </xf>
    <xf numFmtId="195" fontId="5" fillId="2" borderId="8" xfId="15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2" fontId="25" fillId="0" borderId="2" xfId="0" applyNumberFormat="1" applyFont="1" applyFill="1" applyBorder="1" applyAlignment="1">
      <alignment/>
    </xf>
    <xf numFmtId="0" fontId="0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4" fontId="0" fillId="0" borderId="43" xfId="0" applyNumberFormat="1" applyFont="1" applyFill="1" applyBorder="1" applyAlignment="1" quotePrefix="1">
      <alignment horizontal="center"/>
    </xf>
    <xf numFmtId="1" fontId="0" fillId="0" borderId="44" xfId="0" applyNumberFormat="1" applyFont="1" applyFill="1" applyBorder="1" applyAlignment="1">
      <alignment/>
    </xf>
    <xf numFmtId="1" fontId="0" fillId="0" borderId="44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 quotePrefix="1">
      <alignment/>
    </xf>
    <xf numFmtId="2" fontId="25" fillId="0" borderId="44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190" fontId="0" fillId="0" borderId="45" xfId="15" applyFont="1" applyFill="1" applyBorder="1" applyAlignment="1">
      <alignment/>
    </xf>
    <xf numFmtId="167" fontId="0" fillId="0" borderId="46" xfId="0" applyNumberFormat="1" applyFont="1" applyBorder="1" applyAlignment="1">
      <alignment/>
    </xf>
    <xf numFmtId="2" fontId="2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85" fontId="26" fillId="0" borderId="2" xfId="0" applyNumberFormat="1" applyFont="1" applyBorder="1" applyAlignment="1">
      <alignment horizontal="center"/>
    </xf>
    <xf numFmtId="195" fontId="26" fillId="0" borderId="24" xfId="0" applyNumberFormat="1" applyFont="1" applyBorder="1" applyAlignment="1">
      <alignment horizontal="center"/>
    </xf>
    <xf numFmtId="185" fontId="26" fillId="0" borderId="24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190" fontId="0" fillId="0" borderId="2" xfId="15" applyFont="1" applyFill="1" applyBorder="1" applyAlignment="1">
      <alignment/>
    </xf>
    <xf numFmtId="167" fontId="0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190" fontId="0" fillId="0" borderId="35" xfId="15" applyFont="1" applyFill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4" fontId="0" fillId="0" borderId="47" xfId="0" applyNumberFormat="1" applyFont="1" applyFill="1" applyBorder="1" applyAlignment="1">
      <alignment horizontal="centerContinuous" vertical="center" wrapText="1"/>
    </xf>
    <xf numFmtId="2" fontId="0" fillId="0" borderId="8" xfId="0" applyNumberFormat="1" applyFont="1" applyFill="1" applyBorder="1" applyAlignment="1">
      <alignment horizontal="centerContinuous" vertical="center" wrapText="1"/>
    </xf>
    <xf numFmtId="2" fontId="0" fillId="0" borderId="8" xfId="0" applyNumberFormat="1" applyFont="1" applyFill="1" applyBorder="1" applyAlignment="1">
      <alignment vertical="center" wrapText="1"/>
    </xf>
    <xf numFmtId="2" fontId="0" fillId="0" borderId="8" xfId="0" applyNumberFormat="1" applyFont="1" applyBorder="1" applyAlignment="1">
      <alignment horizontal="centerContinuous" vertical="center" wrapText="1"/>
    </xf>
    <xf numFmtId="0" fontId="0" fillId="0" borderId="9" xfId="0" applyBorder="1" applyAlignment="1">
      <alignment horizontal="center" wrapText="1"/>
    </xf>
    <xf numFmtId="14" fontId="0" fillId="0" borderId="48" xfId="0" applyNumberFormat="1" applyFont="1" applyFill="1" applyBorder="1" applyAlignment="1" quotePrefix="1">
      <alignment horizontal="center"/>
    </xf>
    <xf numFmtId="1" fontId="0" fillId="0" borderId="49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 quotePrefix="1">
      <alignment/>
    </xf>
    <xf numFmtId="2" fontId="0" fillId="0" borderId="49" xfId="0" applyNumberFormat="1" applyFont="1" applyFill="1" applyBorder="1" applyAlignment="1">
      <alignment/>
    </xf>
    <xf numFmtId="190" fontId="0" fillId="0" borderId="49" xfId="15" applyFont="1" applyFill="1" applyBorder="1" applyAlignment="1">
      <alignment/>
    </xf>
    <xf numFmtId="167" fontId="0" fillId="0" borderId="49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14" fontId="0" fillId="0" borderId="47" xfId="0" applyNumberFormat="1" applyFont="1" applyFill="1" applyBorder="1" applyAlignment="1" applyProtection="1" quotePrefix="1">
      <alignment horizontal="center" vertical="center"/>
      <protection locked="0"/>
    </xf>
    <xf numFmtId="1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 quotePrefix="1">
      <alignment/>
    </xf>
    <xf numFmtId="2" fontId="0" fillId="0" borderId="8" xfId="0" applyNumberFormat="1" applyFont="1" applyFill="1" applyBorder="1" applyAlignment="1">
      <alignment/>
    </xf>
    <xf numFmtId="190" fontId="0" fillId="0" borderId="8" xfId="15" applyFont="1" applyFill="1" applyBorder="1" applyAlignment="1">
      <alignment/>
    </xf>
    <xf numFmtId="167" fontId="0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Consommation en litres au 100 Kms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"/>
          <c:w val="0.983"/>
          <c:h val="0.95"/>
        </c:manualLayout>
      </c:layout>
      <c:areaChart>
        <c:grouping val="standard"/>
        <c:varyColors val="0"/>
        <c:ser>
          <c:idx val="1"/>
          <c:order val="0"/>
          <c:tx>
            <c:strRef>
              <c:f>Conso1!$F$1</c:f>
              <c:strCache>
                <c:ptCount val="1"/>
                <c:pt idx="0">
                  <c:v>Cons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Conso1!$F$2:$F$21</c:f>
              <c:numCache/>
            </c:numRef>
          </c:val>
        </c:ser>
        <c:axId val="50508914"/>
        <c:axId val="51927043"/>
      </c:areaChart>
      <c:lineChart>
        <c:grouping val="standard"/>
        <c:varyColors val="0"/>
        <c:ser>
          <c:idx val="0"/>
          <c:order val="1"/>
          <c:tx>
            <c:strRef>
              <c:f>Conso1!$G$1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Conso1!$G$2:$G$21</c:f>
            </c:numRef>
          </c:val>
          <c:smooth val="0"/>
        </c:ser>
        <c:axId val="50508914"/>
        <c:axId val="51927043"/>
      </c:lineChart>
      <c:catAx>
        <c:axId val="5050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27043"/>
        <c:crosses val="autoZero"/>
        <c:auto val="0"/>
        <c:lblOffset val="100"/>
        <c:noMultiLvlLbl val="0"/>
      </c:catAx>
      <c:valAx>
        <c:axId val="51927043"/>
        <c:scaling>
          <c:orientation val="minMax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089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Kms parcourus</a:t>
            </a:r>
          </a:p>
        </c:rich>
      </c:tx>
      <c:layout>
        <c:manualLayout>
          <c:xMode val="factor"/>
          <c:yMode val="factor"/>
          <c:x val="-0.09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0975"/>
          <c:w val="0.9542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Conso3!$C$2:$C$21</c:f>
              <c:numCache/>
            </c:numRef>
          </c:val>
        </c:ser>
        <c:overlap val="100"/>
        <c:gapWidth val="30"/>
        <c:axId val="13219308"/>
        <c:axId val="51864909"/>
      </c:barChart>
      <c:catAx>
        <c:axId val="13219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64909"/>
        <c:crosses val="autoZero"/>
        <c:auto val="0"/>
        <c:lblOffset val="100"/>
        <c:noMultiLvlLbl val="0"/>
      </c:catAx>
      <c:valAx>
        <c:axId val="518649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219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Prix du litre de l'essence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Conso3!$I$2:$I$21</c:f>
              <c:numCache/>
            </c:numRef>
          </c:val>
        </c:ser>
        <c:axId val="64130998"/>
        <c:axId val="40308071"/>
      </c:area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Conso3!$J$2:$J$21</c:f>
            </c:numRef>
          </c:val>
          <c:smooth val="0"/>
        </c:ser>
        <c:axId val="64130998"/>
        <c:axId val="40308071"/>
      </c:lineChart>
      <c:catAx>
        <c:axId val="6413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08071"/>
        <c:crosses val="autoZero"/>
        <c:auto val="0"/>
        <c:lblOffset val="100"/>
        <c:noMultiLvlLbl val="0"/>
      </c:catAx>
      <c:valAx>
        <c:axId val="40308071"/>
        <c:scaling>
          <c:orientation val="minMax"/>
          <c:min val="0.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3099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Vitesse Moyenne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Conso3!$K$1</c:f>
              <c:strCache>
                <c:ptCount val="1"/>
                <c:pt idx="0">
                  <c:v>Vitesse 
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Conso3!$K$2:$K$21</c:f>
              <c:numCache/>
            </c:numRef>
          </c:val>
        </c:ser>
        <c:axId val="27228320"/>
        <c:axId val="43728289"/>
      </c:area3DChart>
      <c:cat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832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Consommation en litres au 100 Kms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"/>
          <c:w val="0.98275"/>
          <c:h val="0.95"/>
        </c:manualLayout>
      </c:layout>
      <c:areaChart>
        <c:grouping val="standard"/>
        <c:varyColors val="0"/>
        <c:ser>
          <c:idx val="1"/>
          <c:order val="0"/>
          <c:tx>
            <c:strRef>
              <c:f>Conso4!$F$1</c:f>
              <c:strCache>
                <c:ptCount val="1"/>
                <c:pt idx="0">
                  <c:v>Cons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Conso4!$F$2:$F$21</c:f>
              <c:numCache/>
            </c:numRef>
          </c:val>
        </c:ser>
        <c:axId val="58010282"/>
        <c:axId val="52330491"/>
      </c:areaChart>
      <c:lineChart>
        <c:grouping val="standard"/>
        <c:varyColors val="0"/>
        <c:ser>
          <c:idx val="0"/>
          <c:order val="1"/>
          <c:tx>
            <c:strRef>
              <c:f>Conso4!$G$1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Conso4!$G$2:$G$21</c:f>
            </c:numRef>
          </c:val>
          <c:smooth val="0"/>
        </c:ser>
        <c:axId val="58010282"/>
        <c:axId val="52330491"/>
      </c:lineChart>
      <c:cat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auto val="0"/>
        <c:lblOffset val="100"/>
        <c:noMultiLvlLbl val="0"/>
      </c:catAx>
      <c:valAx>
        <c:axId val="52330491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Kms parcourus</a:t>
            </a:r>
          </a:p>
        </c:rich>
      </c:tx>
      <c:layout>
        <c:manualLayout>
          <c:xMode val="factor"/>
          <c:yMode val="factor"/>
          <c:x val="-0.09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975"/>
          <c:w val="0.955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Conso4!$C$2:$C$21</c:f>
              <c:numCache/>
            </c:numRef>
          </c:val>
        </c:ser>
        <c:overlap val="100"/>
        <c:gapWidth val="30"/>
        <c:axId val="1212372"/>
        <c:axId val="10911349"/>
      </c:barChart>
      <c:catAx>
        <c:axId val="1212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11349"/>
        <c:crosses val="autoZero"/>
        <c:auto val="0"/>
        <c:lblOffset val="100"/>
        <c:noMultiLvlLbl val="0"/>
      </c:catAx>
      <c:valAx>
        <c:axId val="10911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237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Prix du litre d'essence</a:t>
            </a:r>
          </a:p>
        </c:rich>
      </c:tx>
      <c:layout>
        <c:manualLayout>
          <c:xMode val="factor"/>
          <c:yMode val="factor"/>
          <c:x val="0.004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Conso4!$I$2:$I$21</c:f>
              <c:numCache/>
            </c:numRef>
          </c:val>
        </c:ser>
        <c:axId val="31093278"/>
        <c:axId val="11404047"/>
      </c:area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Conso4!$J$2:$J$21</c:f>
            </c:numRef>
          </c:val>
          <c:smooth val="0"/>
        </c:ser>
        <c:axId val="31093278"/>
        <c:axId val="11404047"/>
      </c:lineChart>
      <c:catAx>
        <c:axId val="31093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04047"/>
        <c:crosses val="autoZero"/>
        <c:auto val="0"/>
        <c:lblOffset val="100"/>
        <c:noMultiLvlLbl val="0"/>
      </c:catAx>
      <c:valAx>
        <c:axId val="11404047"/>
        <c:scaling>
          <c:orientation val="minMax"/>
          <c:min val="0.8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9327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Vitesse Moyenne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Conso4!$K$1</c:f>
              <c:strCache>
                <c:ptCount val="1"/>
                <c:pt idx="0">
                  <c:v>Vitesse 
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Conso4!$K$2:$K$21</c:f>
              <c:numCache/>
            </c:numRef>
          </c:val>
        </c:ser>
        <c:axId val="35527560"/>
        <c:axId val="51312585"/>
      </c:area3D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2756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Consommation en litres au 100 Kms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"/>
          <c:w val="0.98275"/>
          <c:h val="0.95"/>
        </c:manualLayout>
      </c:layout>
      <c:areaChart>
        <c:grouping val="standard"/>
        <c:varyColors val="0"/>
        <c:ser>
          <c:idx val="1"/>
          <c:order val="0"/>
          <c:tx>
            <c:strRef>
              <c:f>Conso5!$F$1</c:f>
              <c:strCache>
                <c:ptCount val="1"/>
                <c:pt idx="0">
                  <c:v>Cons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Conso5!$F$2:$F$21</c:f>
              <c:numCache/>
            </c:numRef>
          </c:val>
        </c:ser>
        <c:axId val="59160082"/>
        <c:axId val="62678691"/>
      </c:areaChart>
      <c:lineChart>
        <c:grouping val="standard"/>
        <c:varyColors val="0"/>
        <c:ser>
          <c:idx val="0"/>
          <c:order val="1"/>
          <c:tx>
            <c:strRef>
              <c:f>Conso5!$G$1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Conso5!$G$2:$G$21</c:f>
            </c:numRef>
          </c:val>
          <c:smooth val="0"/>
        </c:ser>
        <c:axId val="59160082"/>
        <c:axId val="62678691"/>
      </c:lineChart>
      <c:cat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78691"/>
        <c:crosses val="autoZero"/>
        <c:auto val="0"/>
        <c:lblOffset val="100"/>
        <c:noMultiLvlLbl val="0"/>
      </c:catAx>
      <c:valAx>
        <c:axId val="62678691"/>
        <c:scaling>
          <c:orientation val="minMax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600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Kms parcourus</a:t>
            </a:r>
          </a:p>
        </c:rich>
      </c:tx>
      <c:layout>
        <c:manualLayout>
          <c:xMode val="factor"/>
          <c:yMode val="factor"/>
          <c:x val="-0.09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975"/>
          <c:w val="0.955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Conso5!$C$2:$C$21</c:f>
              <c:numCache/>
            </c:numRef>
          </c:val>
        </c:ser>
        <c:overlap val="100"/>
        <c:gapWidth val="30"/>
        <c:axId val="27237308"/>
        <c:axId val="43809181"/>
      </c:barChart>
      <c:catAx>
        <c:axId val="27237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09181"/>
        <c:crosses val="autoZero"/>
        <c:auto val="0"/>
        <c:lblOffset val="100"/>
        <c:noMultiLvlLbl val="0"/>
      </c:catAx>
      <c:valAx>
        <c:axId val="438091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2373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Prix du litre d'essence</a:t>
            </a:r>
          </a:p>
        </c:rich>
      </c:tx>
      <c:layout>
        <c:manualLayout>
          <c:xMode val="factor"/>
          <c:yMode val="factor"/>
          <c:x val="0.004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Conso5!$I$2:$I$21</c:f>
              <c:numCache/>
            </c:numRef>
          </c:val>
        </c:ser>
        <c:axId val="58738310"/>
        <c:axId val="58882743"/>
      </c:area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Conso5!$J$2:$J$21</c:f>
            </c:numRef>
          </c:val>
          <c:smooth val="0"/>
        </c:ser>
        <c:axId val="58738310"/>
        <c:axId val="58882743"/>
      </c:lineChart>
      <c:catAx>
        <c:axId val="5873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882743"/>
        <c:crosses val="autoZero"/>
        <c:auto val="0"/>
        <c:lblOffset val="100"/>
        <c:noMultiLvlLbl val="0"/>
      </c:catAx>
      <c:valAx>
        <c:axId val="58882743"/>
        <c:scaling>
          <c:orientation val="minMax"/>
          <c:min val="0.8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3831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Kms parcourus</a:t>
            </a:r>
          </a:p>
        </c:rich>
      </c:tx>
      <c:layout>
        <c:manualLayout>
          <c:xMode val="factor"/>
          <c:yMode val="factor"/>
          <c:x val="-0.09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975"/>
          <c:w val="0.956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Conso1!$C$2:$C$21</c:f>
              <c:numCache/>
            </c:numRef>
          </c:val>
        </c:ser>
        <c:overlap val="100"/>
        <c:gapWidth val="30"/>
        <c:axId val="64690204"/>
        <c:axId val="45340925"/>
      </c:bar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40925"/>
        <c:crosses val="autoZero"/>
        <c:auto val="0"/>
        <c:lblOffset val="100"/>
        <c:noMultiLvlLbl val="0"/>
      </c:catAx>
      <c:valAx>
        <c:axId val="453409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902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Vitesse Moyenne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Conso5!$K$1</c:f>
              <c:strCache>
                <c:ptCount val="1"/>
                <c:pt idx="0">
                  <c:v>Vitesse 
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Conso5!$K$2:$K$21</c:f>
              <c:numCache/>
            </c:numRef>
          </c:val>
        </c:ser>
        <c:axId val="60182640"/>
        <c:axId val="4772849"/>
      </c:area3DChart>
      <c:catAx>
        <c:axId val="6018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8264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.03525"/>
          <c:w val="0.9985"/>
          <c:h val="0.9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'2003'!$A$2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'2003'!$B$2:$M$2</c:f>
              <c:numCache/>
            </c:numRef>
          </c:val>
        </c:ser>
        <c:overlap val="100"/>
        <c:gapWidth val="50"/>
        <c:axId val="42955642"/>
        <c:axId val="51056459"/>
      </c:barChart>
      <c:catAx>
        <c:axId val="4295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56459"/>
        <c:crosses val="autoZero"/>
        <c:auto val="0"/>
        <c:lblOffset val="100"/>
        <c:noMultiLvlLbl val="0"/>
      </c:catAx>
      <c:valAx>
        <c:axId val="510564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556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'2003'!$A$4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'2003'!$B$4:$M$4</c:f>
              <c:numCache/>
            </c:numRef>
          </c:val>
        </c:ser>
        <c:gapWidth val="10"/>
        <c:axId val="56854948"/>
        <c:axId val="41932485"/>
      </c:barChart>
      <c:lineChart>
        <c:grouping val="standard"/>
        <c:varyColors val="0"/>
        <c:ser>
          <c:idx val="0"/>
          <c:order val="1"/>
          <c:tx>
            <c:strRef>
              <c:f>'2003'!$A$5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/>
            </c:strRef>
          </c:cat>
          <c:val>
            <c:numRef>
              <c:f>'2003'!$B$5:$M$5</c:f>
            </c:numRef>
          </c:val>
          <c:smooth val="0"/>
        </c:ser>
        <c:axId val="41848046"/>
        <c:axId val="41088095"/>
      </c:line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32485"/>
        <c:crosses val="autoZero"/>
        <c:auto val="0"/>
        <c:lblOffset val="100"/>
        <c:noMultiLvlLbl val="0"/>
      </c:catAx>
      <c:valAx>
        <c:axId val="41932485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948"/>
        <c:crossesAt val="1"/>
        <c:crossBetween val="between"/>
        <c:dispUnits/>
      </c:valAx>
      <c:catAx>
        <c:axId val="41848046"/>
        <c:scaling>
          <c:orientation val="minMax"/>
        </c:scaling>
        <c:axPos val="b"/>
        <c:delete val="1"/>
        <c:majorTickMark val="in"/>
        <c:minorTickMark val="none"/>
        <c:tickLblPos val="nextTo"/>
        <c:crossAx val="41088095"/>
        <c:crosses val="autoZero"/>
        <c:auto val="0"/>
        <c:lblOffset val="100"/>
        <c:noMultiLvlLbl val="0"/>
      </c:catAx>
      <c:valAx>
        <c:axId val="41088095"/>
        <c:scaling>
          <c:orientation val="minMax"/>
        </c:scaling>
        <c:axPos val="l"/>
        <c:delete val="1"/>
        <c:majorTickMark val="in"/>
        <c:minorTickMark val="none"/>
        <c:tickLblPos val="nextTo"/>
        <c:crossAx val="418480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5"/>
          <c:y val="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'2003'!$A$3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'2003'!$B$3:$M$3</c:f>
              <c:numCache/>
            </c:numRef>
          </c:val>
        </c:ser>
        <c:dropLines/>
        <c:axId val="34248536"/>
        <c:axId val="39801369"/>
      </c:area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01369"/>
        <c:crosses val="autoZero"/>
        <c:auto val="0"/>
        <c:lblOffset val="100"/>
        <c:noMultiLvlLbl val="0"/>
      </c:catAx>
      <c:valAx>
        <c:axId val="398013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4853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'2003'!$A$6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'2003'!$B$6:$M$6</c:f>
              <c:numCache/>
            </c:numRef>
          </c:val>
        </c:ser>
        <c:dropLines/>
        <c:axId val="22668002"/>
        <c:axId val="2685427"/>
      </c:area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5427"/>
        <c:crosses val="autoZero"/>
        <c:auto val="0"/>
        <c:lblOffset val="100"/>
        <c:noMultiLvlLbl val="0"/>
      </c:catAx>
      <c:valAx>
        <c:axId val="2685427"/>
        <c:scaling>
          <c:orientation val="minMax"/>
        </c:scaling>
        <c:axPos val="l"/>
        <c:majorGridlines/>
        <c:delete val="0"/>
        <c:numFmt formatCode="#,##0\ &quot;F&quot;;\-#,##0\ &quot;F&quot;" sourceLinked="0"/>
        <c:majorTickMark val="in"/>
        <c:minorTickMark val="none"/>
        <c:tickLblPos val="nextTo"/>
        <c:crossAx val="226680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05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Prix de l'essence</a:t>
            </a:r>
          </a:p>
        </c:rich>
      </c:tx>
      <c:layout>
        <c:manualLayout>
          <c:xMode val="factor"/>
          <c:yMode val="factor"/>
          <c:x val="0.008"/>
          <c:y val="0.0845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'2003'!$A$7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'2003'!$B$7:$M$7</c:f>
              <c:numCache/>
            </c:numRef>
          </c:val>
        </c:ser>
        <c:axId val="24168844"/>
        <c:axId val="16193005"/>
      </c:areaChart>
      <c:lineChart>
        <c:grouping val="standard"/>
        <c:varyColors val="0"/>
        <c:ser>
          <c:idx val="1"/>
          <c:order val="0"/>
          <c:tx>
            <c:strRef>
              <c:f>'2003'!$A$8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'2003'!$B$1:$M$1</c:f>
              <c:strCache/>
            </c:strRef>
          </c:cat>
          <c:val>
            <c:numRef>
              <c:f>'2003'!$B$8:$M$8</c:f>
            </c:numRef>
          </c:val>
          <c:smooth val="0"/>
        </c:ser>
        <c:axId val="24168844"/>
        <c:axId val="16193005"/>
      </c:lineChart>
      <c:catAx>
        <c:axId val="2416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93005"/>
        <c:crosses val="autoZero"/>
        <c:auto val="0"/>
        <c:lblOffset val="100"/>
        <c:noMultiLvlLbl val="0"/>
      </c:catAx>
      <c:valAx>
        <c:axId val="16193005"/>
        <c:scaling>
          <c:orientation val="minMax"/>
          <c:min val="0.94"/>
        </c:scaling>
        <c:axPos val="l"/>
        <c:delete val="0"/>
        <c:numFmt formatCode="General" sourceLinked="1"/>
        <c:majorTickMark val="in"/>
        <c:minorTickMark val="none"/>
        <c:tickLblPos val="nextTo"/>
        <c:crossAx val="241688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2525"/>
          <c:w val="0.10575"/>
          <c:h val="0.1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05"/>
          <c:w val="0.9865"/>
          <c:h val="0.899"/>
        </c:manualLayout>
      </c:layout>
      <c:areaChart>
        <c:grouping val="standard"/>
        <c:varyColors val="0"/>
        <c:ser>
          <c:idx val="0"/>
          <c:order val="1"/>
          <c:tx>
            <c:strRef>
              <c:f>'2004'!$A$7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'2004'!$B$1:$M$1</c:f>
              <c:strCache/>
            </c:strRef>
          </c:cat>
          <c:val>
            <c:numRef>
              <c:f>'2004'!$B$7:$M$7</c:f>
              <c:numCache/>
            </c:numRef>
          </c:val>
        </c:ser>
        <c:axId val="11519318"/>
        <c:axId val="36564999"/>
      </c:areaChart>
      <c:lineChart>
        <c:grouping val="standard"/>
        <c:varyColors val="0"/>
        <c:ser>
          <c:idx val="1"/>
          <c:order val="0"/>
          <c:tx>
            <c:strRef>
              <c:f>'2004'!$A$8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/>
            </c:strRef>
          </c:cat>
          <c:val>
            <c:numRef>
              <c:f>'2004'!$B$8:$M$8</c:f>
              <c:numCache/>
            </c:numRef>
          </c:val>
          <c:smooth val="0"/>
        </c:ser>
        <c:axId val="11519318"/>
        <c:axId val="36564999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64999"/>
        <c:crosses val="autoZero"/>
        <c:auto val="0"/>
        <c:lblOffset val="100"/>
        <c:noMultiLvlLbl val="0"/>
      </c:catAx>
      <c:valAx>
        <c:axId val="36564999"/>
        <c:scaling>
          <c:orientation val="minMax"/>
          <c:min val="0.95"/>
        </c:scaling>
        <c:axPos val="l"/>
        <c:delete val="0"/>
        <c:numFmt formatCode="General" sourceLinked="1"/>
        <c:majorTickMark val="in"/>
        <c:minorTickMark val="none"/>
        <c:tickLblPos val="nextTo"/>
        <c:crossAx val="115193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925"/>
          <c:y val="0.06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.0295"/>
          <c:w val="0.999"/>
          <c:h val="0.9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'2004'!$A$2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'2004'!$B$2:$M$2</c:f>
              <c:numCache/>
            </c:numRef>
          </c:val>
        </c:ser>
        <c:overlap val="100"/>
        <c:gapWidth val="50"/>
        <c:axId val="60649536"/>
        <c:axId val="8974913"/>
      </c:barChart>
      <c:catAx>
        <c:axId val="60649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74913"/>
        <c:crosses val="autoZero"/>
        <c:auto val="0"/>
        <c:lblOffset val="100"/>
        <c:noMultiLvlLbl val="0"/>
      </c:catAx>
      <c:valAx>
        <c:axId val="8974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495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'2004'!$A$4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'2004'!$B$4:$M$4</c:f>
              <c:numCache/>
            </c:numRef>
          </c:val>
        </c:ser>
        <c:gapWidth val="10"/>
        <c:axId val="13665354"/>
        <c:axId val="55879323"/>
      </c:barChart>
      <c:lineChart>
        <c:grouping val="standard"/>
        <c:varyColors val="0"/>
        <c:ser>
          <c:idx val="0"/>
          <c:order val="1"/>
          <c:tx>
            <c:strRef>
              <c:f>'2004'!$A$5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'2004'!$B$5:$M$5</c:f>
            </c:numRef>
          </c:val>
          <c:smooth val="0"/>
        </c:ser>
        <c:axId val="33151860"/>
        <c:axId val="29931285"/>
      </c:lineChart>
      <c:catAx>
        <c:axId val="1366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79323"/>
        <c:crosses val="autoZero"/>
        <c:auto val="0"/>
        <c:lblOffset val="100"/>
        <c:noMultiLvlLbl val="0"/>
      </c:catAx>
      <c:valAx>
        <c:axId val="55879323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354"/>
        <c:crossesAt val="1"/>
        <c:crossBetween val="between"/>
        <c:dispUnits/>
      </c:valAx>
      <c:catAx>
        <c:axId val="33151860"/>
        <c:scaling>
          <c:orientation val="minMax"/>
        </c:scaling>
        <c:axPos val="b"/>
        <c:delete val="1"/>
        <c:majorTickMark val="in"/>
        <c:minorTickMark val="none"/>
        <c:tickLblPos val="nextTo"/>
        <c:crossAx val="29931285"/>
        <c:crosses val="autoZero"/>
        <c:auto val="0"/>
        <c:lblOffset val="100"/>
        <c:noMultiLvlLbl val="0"/>
      </c:catAx>
      <c:valAx>
        <c:axId val="29931285"/>
        <c:scaling>
          <c:orientation val="minMax"/>
        </c:scaling>
        <c:axPos val="l"/>
        <c:delete val="1"/>
        <c:majorTickMark val="in"/>
        <c:minorTickMark val="none"/>
        <c:tickLblPos val="nextTo"/>
        <c:crossAx val="331518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31"/>
          <c:y val="-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'2004'!$A$3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'2004'!$B$3:$M$3</c:f>
              <c:numCache/>
            </c:numRef>
          </c:val>
        </c:ser>
        <c:dropLines/>
        <c:axId val="946110"/>
        <c:axId val="8514991"/>
      </c:areaChart>
      <c:catAx>
        <c:axId val="946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14991"/>
        <c:crosses val="autoZero"/>
        <c:auto val="0"/>
        <c:lblOffset val="100"/>
        <c:noMultiLvlLbl val="0"/>
      </c:catAx>
      <c:valAx>
        <c:axId val="85149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611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Prix du litre de l'essence</a:t>
            </a:r>
          </a:p>
        </c:rich>
      </c:tx>
      <c:layout>
        <c:manualLayout>
          <c:xMode val="factor"/>
          <c:yMode val="factor"/>
          <c:x val="0.004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Conso1!$I$2:$I$21</c:f>
              <c:numCache/>
            </c:numRef>
          </c:val>
        </c:ser>
        <c:axId val="5415142"/>
        <c:axId val="48736279"/>
      </c:area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Conso1!$J$2:$J$21</c:f>
            </c:numRef>
          </c:val>
          <c:smooth val="0"/>
        </c:ser>
        <c:axId val="5415142"/>
        <c:axId val="48736279"/>
      </c:lineChart>
      <c:catAx>
        <c:axId val="5415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36279"/>
        <c:crosses val="autoZero"/>
        <c:auto val="0"/>
        <c:lblOffset val="100"/>
        <c:noMultiLvlLbl val="0"/>
      </c:catAx>
      <c:valAx>
        <c:axId val="48736279"/>
        <c:scaling>
          <c:orientation val="minMax"/>
          <c:min val="0.9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514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'2004'!$A$6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'2004'!$B$6:$M$6</c:f>
              <c:numCache/>
            </c:numRef>
          </c:val>
        </c:ser>
        <c:dropLines/>
        <c:axId val="9526056"/>
        <c:axId val="18625641"/>
      </c:areaChart>
      <c:catAx>
        <c:axId val="952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25641"/>
        <c:crosses val="autoZero"/>
        <c:auto val="0"/>
        <c:lblOffset val="100"/>
        <c:noMultiLvlLbl val="0"/>
      </c:catAx>
      <c:valAx>
        <c:axId val="18625641"/>
        <c:scaling>
          <c:orientation val="minMax"/>
        </c:scaling>
        <c:axPos val="l"/>
        <c:majorGridlines/>
        <c:delete val="0"/>
        <c:numFmt formatCode="#,##0\ [$€-1];\-#,##0\ [$€-1]" sourceLinked="0"/>
        <c:majorTickMark val="in"/>
        <c:minorTickMark val="none"/>
        <c:tickLblPos val="nextTo"/>
        <c:crossAx val="95260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75"/>
          <c:y val="0"/>
          <c:w val="0.10375"/>
          <c:h val="0.18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'2005'!$A$7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'2005'!$B$7:$M$7</c:f>
              <c:numCache/>
            </c:numRef>
          </c:val>
        </c:ser>
        <c:axId val="33413042"/>
        <c:axId val="32281923"/>
      </c:areaChart>
      <c:lineChart>
        <c:grouping val="standard"/>
        <c:varyColors val="0"/>
        <c:ser>
          <c:idx val="1"/>
          <c:order val="0"/>
          <c:tx>
            <c:strRef>
              <c:f>'2005'!$A$8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'2005'!$B$8:$M$8</c:f>
              <c:numCache/>
            </c:numRef>
          </c:val>
          <c:smooth val="0"/>
        </c:ser>
        <c:axId val="33413042"/>
        <c:axId val="32281923"/>
      </c:lineChart>
      <c:catAx>
        <c:axId val="33413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81923"/>
        <c:crosses val="autoZero"/>
        <c:auto val="0"/>
        <c:lblOffset val="100"/>
        <c:noMultiLvlLbl val="0"/>
      </c:catAx>
      <c:valAx>
        <c:axId val="32281923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334130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5675"/>
          <c:y val="0.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3333CC"/>
                </a:solidFill>
                <a:latin typeface="MS Sans Serif"/>
                <a:ea typeface="MS Sans Serif"/>
                <a:cs typeface="MS Sans Serif"/>
              </a:rPr>
              <a:t>Kms</a:t>
            </a:r>
          </a:p>
        </c:rich>
      </c:tx>
      <c:layout>
        <c:manualLayout>
          <c:xMode val="factor"/>
          <c:yMode val="factor"/>
          <c:x val="0.3545"/>
          <c:y val="-0.01625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'2005'!$A$2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'2005'!$B$2:$M$2</c:f>
              <c:numCache/>
            </c:numRef>
          </c:val>
        </c:ser>
        <c:overlap val="100"/>
        <c:gapWidth val="50"/>
        <c:axId val="22101852"/>
        <c:axId val="64698941"/>
      </c:barChart>
      <c:catAx>
        <c:axId val="2210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98941"/>
        <c:crosses val="autoZero"/>
        <c:auto val="0"/>
        <c:lblOffset val="100"/>
        <c:noMultiLvlLbl val="0"/>
      </c:catAx>
      <c:valAx>
        <c:axId val="646989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018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87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'2005'!$A$4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'2005'!$B$4:$M$4</c:f>
              <c:numCache/>
            </c:numRef>
          </c:val>
        </c:ser>
        <c:gapWidth val="10"/>
        <c:axId val="45419558"/>
        <c:axId val="6122839"/>
      </c:barChart>
      <c:lineChart>
        <c:grouping val="standard"/>
        <c:varyColors val="0"/>
        <c:ser>
          <c:idx val="0"/>
          <c:order val="1"/>
          <c:tx>
            <c:strRef>
              <c:f>'2005'!$A$5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'2005'!$B$5:$M$5</c:f>
            </c:numRef>
          </c:val>
          <c:smooth val="0"/>
        </c:ser>
        <c:axId val="55105552"/>
        <c:axId val="26187921"/>
      </c:lineChart>
      <c:catAx>
        <c:axId val="45419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2839"/>
        <c:crosses val="autoZero"/>
        <c:auto val="0"/>
        <c:lblOffset val="100"/>
        <c:noMultiLvlLbl val="0"/>
      </c:catAx>
      <c:valAx>
        <c:axId val="6122839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19558"/>
        <c:crossesAt val="1"/>
        <c:crossBetween val="between"/>
        <c:dispUnits/>
      </c:valAx>
      <c:catAx>
        <c:axId val="55105552"/>
        <c:scaling>
          <c:orientation val="minMax"/>
        </c:scaling>
        <c:axPos val="b"/>
        <c:delete val="1"/>
        <c:majorTickMark val="in"/>
        <c:minorTickMark val="none"/>
        <c:tickLblPos val="nextTo"/>
        <c:crossAx val="26187921"/>
        <c:crosses val="autoZero"/>
        <c:auto val="0"/>
        <c:lblOffset val="100"/>
        <c:noMultiLvlLbl val="0"/>
      </c:catAx>
      <c:valAx>
        <c:axId val="26187921"/>
        <c:scaling>
          <c:orientation val="minMax"/>
        </c:scaling>
        <c:axPos val="l"/>
        <c:delete val="1"/>
        <c:majorTickMark val="in"/>
        <c:minorTickMark val="none"/>
        <c:tickLblPos val="nextTo"/>
        <c:crossAx val="551055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222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6666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'2005'!$A$3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'2005'!$B$3:$M$3</c:f>
              <c:numCache/>
            </c:numRef>
          </c:val>
        </c:ser>
        <c:dropLines/>
        <c:axId val="34364698"/>
        <c:axId val="40846827"/>
      </c:areaChart>
      <c:catAx>
        <c:axId val="3436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46827"/>
        <c:crosses val="autoZero"/>
        <c:auto val="0"/>
        <c:lblOffset val="100"/>
        <c:noMultiLvlLbl val="0"/>
      </c:catAx>
      <c:valAx>
        <c:axId val="408468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36469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'2005'!$A$6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'2005'!$B$6:$M$6</c:f>
              <c:numCache/>
            </c:numRef>
          </c:val>
        </c:ser>
        <c:dropLines/>
        <c:axId val="32077124"/>
        <c:axId val="20258661"/>
      </c:areaChart>
      <c:catAx>
        <c:axId val="32077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58661"/>
        <c:crosses val="autoZero"/>
        <c:auto val="0"/>
        <c:lblOffset val="100"/>
        <c:noMultiLvlLbl val="0"/>
      </c:catAx>
      <c:valAx>
        <c:axId val="20258661"/>
        <c:scaling>
          <c:orientation val="minMax"/>
        </c:scaling>
        <c:axPos val="l"/>
        <c:majorGridlines/>
        <c:delete val="0"/>
        <c:numFmt formatCode="#,##0\ [$€-1];\-#,##0\ [$€-1]" sourceLinked="0"/>
        <c:majorTickMark val="in"/>
        <c:minorTickMark val="none"/>
        <c:tickLblPos val="nextTo"/>
        <c:crossAx val="320771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"/>
          <c:y val="0.125"/>
          <c:w val="0.112"/>
          <c:h val="0.2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'2006'!$A$7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'2006'!$B$7:$M$7</c:f>
              <c:numCache/>
            </c:numRef>
          </c:val>
        </c:ser>
        <c:axId val="48110222"/>
        <c:axId val="30338815"/>
      </c:areaChart>
      <c:lineChart>
        <c:grouping val="standard"/>
        <c:varyColors val="0"/>
        <c:ser>
          <c:idx val="1"/>
          <c:order val="0"/>
          <c:tx>
            <c:strRef>
              <c:f>'2006'!$A$8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'2006'!$B$8:$M$8</c:f>
              <c:numCache/>
            </c:numRef>
          </c:val>
          <c:smooth val="0"/>
        </c:ser>
        <c:axId val="48110222"/>
        <c:axId val="30338815"/>
      </c:line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38815"/>
        <c:crosses val="autoZero"/>
        <c:auto val="0"/>
        <c:lblOffset val="100"/>
        <c:noMultiLvlLbl val="0"/>
      </c:catAx>
      <c:valAx>
        <c:axId val="30338815"/>
        <c:scaling>
          <c:orientation val="minMax"/>
          <c:min val="0.9"/>
        </c:scaling>
        <c:axPos val="l"/>
        <c:delete val="0"/>
        <c:numFmt formatCode="General" sourceLinked="1"/>
        <c:majorTickMark val="in"/>
        <c:minorTickMark val="none"/>
        <c:tickLblPos val="nextTo"/>
        <c:crossAx val="481102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0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3"/>
          <c:y val="-0.0227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33CC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'2006'!$A$2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'2006'!$B$2:$M$2</c:f>
              <c:numCache/>
            </c:numRef>
          </c:val>
        </c:ser>
        <c:overlap val="100"/>
        <c:gapWidth val="50"/>
        <c:axId val="4613880"/>
        <c:axId val="41524921"/>
      </c:barChart>
      <c:catAx>
        <c:axId val="4613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24921"/>
        <c:crosses val="autoZero"/>
        <c:auto val="0"/>
        <c:lblOffset val="100"/>
        <c:noMultiLvlLbl val="0"/>
      </c:catAx>
      <c:valAx>
        <c:axId val="41524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38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9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'2006'!$A$4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'2006'!$B$4:$M$4</c:f>
              <c:numCache/>
            </c:numRef>
          </c:val>
        </c:ser>
        <c:gapWidth val="10"/>
        <c:axId val="38179970"/>
        <c:axId val="8075411"/>
      </c:barChart>
      <c:lineChart>
        <c:grouping val="standard"/>
        <c:varyColors val="0"/>
        <c:ser>
          <c:idx val="0"/>
          <c:order val="1"/>
          <c:tx>
            <c:strRef>
              <c:f>'2006'!$A$5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'2006'!$B$5:$M$5</c:f>
            </c:numRef>
          </c:val>
          <c:smooth val="0"/>
        </c:ser>
        <c:axId val="5569836"/>
        <c:axId val="50128525"/>
      </c:lineChart>
      <c:catAx>
        <c:axId val="3817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75411"/>
        <c:crosses val="autoZero"/>
        <c:auto val="0"/>
        <c:lblOffset val="100"/>
        <c:noMultiLvlLbl val="0"/>
      </c:catAx>
      <c:valAx>
        <c:axId val="8075411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79970"/>
        <c:crossesAt val="1"/>
        <c:crossBetween val="between"/>
        <c:dispUnits/>
      </c:valAx>
      <c:catAx>
        <c:axId val="5569836"/>
        <c:scaling>
          <c:orientation val="minMax"/>
        </c:scaling>
        <c:axPos val="b"/>
        <c:delete val="1"/>
        <c:majorTickMark val="in"/>
        <c:minorTickMark val="none"/>
        <c:tickLblPos val="nextTo"/>
        <c:crossAx val="50128525"/>
        <c:crosses val="autoZero"/>
        <c:auto val="0"/>
        <c:lblOffset val="100"/>
        <c:noMultiLvlLbl val="0"/>
      </c:catAx>
      <c:valAx>
        <c:axId val="50128525"/>
        <c:scaling>
          <c:orientation val="minMax"/>
        </c:scaling>
        <c:axPos val="l"/>
        <c:delete val="1"/>
        <c:majorTickMark val="in"/>
        <c:minorTickMark val="none"/>
        <c:tickLblPos val="nextTo"/>
        <c:crossAx val="55698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222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6666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'2006'!$A$3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'2006'!$B$3:$M$3</c:f>
              <c:numCache/>
            </c:numRef>
          </c:val>
        </c:ser>
        <c:dropLines/>
        <c:axId val="48503542"/>
        <c:axId val="33878695"/>
      </c:area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78695"/>
        <c:crosses val="autoZero"/>
        <c:auto val="0"/>
        <c:lblOffset val="100"/>
        <c:noMultiLvlLbl val="0"/>
      </c:catAx>
      <c:valAx>
        <c:axId val="338786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0354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Vitesse Moyenne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Conso1!$K$1</c:f>
              <c:strCache>
                <c:ptCount val="1"/>
                <c:pt idx="0">
                  <c:v>Vitesse 
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Conso1!$K$2:$K$21</c:f>
              <c:numCache/>
            </c:numRef>
          </c:val>
        </c:ser>
        <c:axId val="35973328"/>
        <c:axId val="55324497"/>
      </c:area3D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24497"/>
        <c:crosses val="autoZero"/>
        <c:auto val="1"/>
        <c:lblOffset val="100"/>
        <c:noMultiLvlLbl val="0"/>
      </c:catAx>
      <c:valAx>
        <c:axId val="55324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3328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'2006'!$A$6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'2006'!$B$6:$M$6</c:f>
              <c:numCache/>
            </c:numRef>
          </c:val>
        </c:ser>
        <c:dropLines/>
        <c:axId val="36472800"/>
        <c:axId val="59819745"/>
      </c:area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19745"/>
        <c:crosses val="autoZero"/>
        <c:auto val="0"/>
        <c:lblOffset val="100"/>
        <c:noMultiLvlLbl val="0"/>
      </c:catAx>
      <c:valAx>
        <c:axId val="59819745"/>
        <c:scaling>
          <c:orientation val="minMax"/>
        </c:scaling>
        <c:axPos val="l"/>
        <c:majorGridlines/>
        <c:delete val="0"/>
        <c:numFmt formatCode="#,##0\ &quot;€&quot;" sourceLinked="0"/>
        <c:majorTickMark val="in"/>
        <c:minorTickMark val="none"/>
        <c:tickLblPos val="nextTo"/>
        <c:crossAx val="364728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5"/>
          <c:y val="0.02075"/>
          <c:w val="0.1075"/>
          <c:h val="0.19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'2007'!$A$7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'2007'!$B$7:$M$7</c:f>
              <c:numCache/>
            </c:numRef>
          </c:val>
        </c:ser>
        <c:axId val="1506794"/>
        <c:axId val="13561147"/>
      </c:areaChart>
      <c:lineChart>
        <c:grouping val="standard"/>
        <c:varyColors val="0"/>
        <c:ser>
          <c:idx val="1"/>
          <c:order val="0"/>
          <c:tx>
            <c:strRef>
              <c:f>'2007'!$A$8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'2007'!$B$8:$M$8</c:f>
              <c:numCache/>
            </c:numRef>
          </c:val>
          <c:smooth val="0"/>
        </c:ser>
        <c:axId val="1506794"/>
        <c:axId val="13561147"/>
      </c:lineChart>
      <c:catAx>
        <c:axId val="150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61147"/>
        <c:crosses val="autoZero"/>
        <c:auto val="0"/>
        <c:lblOffset val="100"/>
        <c:noMultiLvlLbl val="0"/>
      </c:catAx>
      <c:valAx>
        <c:axId val="13561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6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0725"/>
          <c:y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3"/>
          <c:y val="-0.0227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33CC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'2007'!$A$2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'2007'!$B$2:$M$2</c:f>
              <c:numCache/>
            </c:numRef>
          </c:val>
        </c:ser>
        <c:overlap val="100"/>
        <c:gapWidth val="50"/>
        <c:axId val="54941460"/>
        <c:axId val="24711093"/>
      </c:bar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11093"/>
        <c:crosses val="autoZero"/>
        <c:auto val="0"/>
        <c:lblOffset val="100"/>
        <c:noMultiLvlLbl val="0"/>
      </c:catAx>
      <c:valAx>
        <c:axId val="247110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4146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9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'2007'!$A$4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'2007'!$B$4:$M$4</c:f>
              <c:numCache/>
            </c:numRef>
          </c:val>
        </c:ser>
        <c:gapWidth val="10"/>
        <c:axId val="21073246"/>
        <c:axId val="55441487"/>
      </c:barChart>
      <c:lineChart>
        <c:grouping val="standard"/>
        <c:varyColors val="0"/>
        <c:ser>
          <c:idx val="0"/>
          <c:order val="1"/>
          <c:tx>
            <c:strRef>
              <c:f>'2007'!$A$5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'2007'!$B$5:$M$5</c:f>
            </c:numRef>
          </c:val>
          <c:smooth val="0"/>
        </c:ser>
        <c:axId val="29211336"/>
        <c:axId val="61575433"/>
      </c:line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41487"/>
        <c:crosses val="autoZero"/>
        <c:auto val="0"/>
        <c:lblOffset val="100"/>
        <c:noMultiLvlLbl val="0"/>
      </c:catAx>
      <c:valAx>
        <c:axId val="55441487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3246"/>
        <c:crossesAt val="1"/>
        <c:crossBetween val="between"/>
        <c:dispUnits/>
      </c:valAx>
      <c:catAx>
        <c:axId val="29211336"/>
        <c:scaling>
          <c:orientation val="minMax"/>
        </c:scaling>
        <c:axPos val="b"/>
        <c:delete val="1"/>
        <c:majorTickMark val="in"/>
        <c:minorTickMark val="none"/>
        <c:tickLblPos val="nextTo"/>
        <c:crossAx val="61575433"/>
        <c:crosses val="autoZero"/>
        <c:auto val="0"/>
        <c:lblOffset val="100"/>
        <c:noMultiLvlLbl val="0"/>
      </c:catAx>
      <c:valAx>
        <c:axId val="61575433"/>
        <c:scaling>
          <c:orientation val="minMax"/>
        </c:scaling>
        <c:axPos val="l"/>
        <c:delete val="1"/>
        <c:majorTickMark val="in"/>
        <c:minorTickMark val="none"/>
        <c:tickLblPos val="nextTo"/>
        <c:crossAx val="292113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222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6666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'2007'!$A$3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'2007'!$B$3:$M$3</c:f>
              <c:numCache/>
            </c:numRef>
          </c:val>
        </c:ser>
        <c:dropLines/>
        <c:axId val="17307986"/>
        <c:axId val="21554147"/>
      </c:area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54147"/>
        <c:crosses val="autoZero"/>
        <c:auto val="0"/>
        <c:lblOffset val="100"/>
        <c:noMultiLvlLbl val="0"/>
      </c:catAx>
      <c:valAx>
        <c:axId val="215541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0798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'2007'!$A$6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'2007'!$B$6:$M$6</c:f>
              <c:numCache/>
            </c:numRef>
          </c:val>
        </c:ser>
        <c:dropLines/>
        <c:axId val="59769596"/>
        <c:axId val="1055453"/>
      </c:area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5453"/>
        <c:crosses val="autoZero"/>
        <c:auto val="0"/>
        <c:lblOffset val="100"/>
        <c:noMultiLvlLbl val="0"/>
      </c:catAx>
      <c:valAx>
        <c:axId val="1055453"/>
        <c:scaling>
          <c:orientation val="minMax"/>
        </c:scaling>
        <c:axPos val="l"/>
        <c:majorGridlines/>
        <c:delete val="0"/>
        <c:numFmt formatCode="#,##0\ &quot;F&quot;;\-#,##0\ &quot;F&quot;" sourceLinked="0"/>
        <c:majorTickMark val="in"/>
        <c:minorTickMark val="none"/>
        <c:tickLblPos val="nextTo"/>
        <c:crossAx val="597695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0225"/>
          <c:w val="0.121"/>
          <c:h val="0.194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'2008'!$A$7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'2008'!$B$7:$M$7</c:f>
              <c:numCache/>
            </c:numRef>
          </c:val>
        </c:ser>
        <c:axId val="9499078"/>
        <c:axId val="18382839"/>
      </c:areaChart>
      <c:lineChart>
        <c:grouping val="standard"/>
        <c:varyColors val="0"/>
        <c:ser>
          <c:idx val="1"/>
          <c:order val="0"/>
          <c:tx>
            <c:strRef>
              <c:f>'2008'!$A$8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'2008'!$B$8:$M$8</c:f>
              <c:numCache/>
            </c:numRef>
          </c:val>
          <c:smooth val="0"/>
        </c:ser>
        <c:axId val="9499078"/>
        <c:axId val="18382839"/>
      </c:lineChart>
      <c:catAx>
        <c:axId val="949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82839"/>
        <c:crosses val="autoZero"/>
        <c:auto val="0"/>
        <c:lblOffset val="100"/>
        <c:noMultiLvlLbl val="0"/>
      </c:catAx>
      <c:valAx>
        <c:axId val="18382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990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0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3"/>
          <c:y val="-0.0227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33CC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'2008'!$A$2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'2008'!$B$2:$M$2</c:f>
              <c:numCache/>
            </c:numRef>
          </c:val>
        </c:ser>
        <c:overlap val="100"/>
        <c:gapWidth val="50"/>
        <c:axId val="31227824"/>
        <c:axId val="12614961"/>
      </c:bar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14961"/>
        <c:crosses val="autoZero"/>
        <c:auto val="0"/>
        <c:lblOffset val="100"/>
        <c:noMultiLvlLbl val="0"/>
      </c:catAx>
      <c:valAx>
        <c:axId val="12614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278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9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'2008'!$A$4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'2008'!$B$4:$M$4</c:f>
              <c:numCache/>
            </c:numRef>
          </c:val>
        </c:ser>
        <c:gapWidth val="10"/>
        <c:axId val="46425786"/>
        <c:axId val="15178891"/>
      </c:barChart>
      <c:lineChart>
        <c:grouping val="standard"/>
        <c:varyColors val="0"/>
        <c:ser>
          <c:idx val="0"/>
          <c:order val="1"/>
          <c:tx>
            <c:strRef>
              <c:f>'2008'!$A$5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'2008'!$B$5:$M$5</c:f>
            </c:numRef>
          </c:val>
          <c:smooth val="0"/>
        </c:ser>
        <c:axId val="2392292"/>
        <c:axId val="21530629"/>
      </c:lineChart>
      <c:catAx>
        <c:axId val="46425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78891"/>
        <c:crosses val="autoZero"/>
        <c:auto val="0"/>
        <c:lblOffset val="100"/>
        <c:noMultiLvlLbl val="0"/>
      </c:catAx>
      <c:valAx>
        <c:axId val="15178891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25786"/>
        <c:crossesAt val="1"/>
        <c:crossBetween val="between"/>
        <c:dispUnits/>
      </c:valAx>
      <c:catAx>
        <c:axId val="2392292"/>
        <c:scaling>
          <c:orientation val="minMax"/>
        </c:scaling>
        <c:axPos val="b"/>
        <c:delete val="1"/>
        <c:majorTickMark val="in"/>
        <c:minorTickMark val="none"/>
        <c:tickLblPos val="nextTo"/>
        <c:crossAx val="21530629"/>
        <c:crosses val="autoZero"/>
        <c:auto val="0"/>
        <c:lblOffset val="100"/>
        <c:noMultiLvlLbl val="0"/>
      </c:catAx>
      <c:valAx>
        <c:axId val="21530629"/>
        <c:scaling>
          <c:orientation val="minMax"/>
        </c:scaling>
        <c:axPos val="l"/>
        <c:delete val="1"/>
        <c:majorTickMark val="in"/>
        <c:minorTickMark val="none"/>
        <c:tickLblPos val="nextTo"/>
        <c:crossAx val="23922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222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6666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'2008'!$A$3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'2008'!$B$3:$M$3</c:f>
              <c:numCache/>
            </c:numRef>
          </c:val>
        </c:ser>
        <c:dropLines/>
        <c:axId val="59557934"/>
        <c:axId val="66259359"/>
      </c:area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59359"/>
        <c:crosses val="autoZero"/>
        <c:auto val="0"/>
        <c:lblOffset val="100"/>
        <c:noMultiLvlLbl val="0"/>
      </c:catAx>
      <c:valAx>
        <c:axId val="662593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5793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Consommation en litres au 100 Kms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"/>
          <c:w val="0.983"/>
          <c:h val="0.95"/>
        </c:manualLayout>
      </c:layout>
      <c:areaChart>
        <c:grouping val="standard"/>
        <c:varyColors val="0"/>
        <c:ser>
          <c:idx val="1"/>
          <c:order val="0"/>
          <c:tx>
            <c:strRef>
              <c:f>Conso2!$F$1</c:f>
              <c:strCache>
                <c:ptCount val="1"/>
                <c:pt idx="0">
                  <c:v>Cons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Conso2!$F$2:$F$21</c:f>
              <c:numCache/>
            </c:numRef>
          </c:val>
        </c:ser>
        <c:axId val="28158426"/>
        <c:axId val="52099243"/>
      </c:areaChart>
      <c:lineChart>
        <c:grouping val="standard"/>
        <c:varyColors val="0"/>
        <c:ser>
          <c:idx val="0"/>
          <c:order val="1"/>
          <c:tx>
            <c:strRef>
              <c:f>Conso2!$G$1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Conso2!$G$2:$G$21</c:f>
            </c:numRef>
          </c:val>
          <c:smooth val="0"/>
        </c:ser>
        <c:axId val="28158426"/>
        <c:axId val="52099243"/>
      </c:lineChart>
      <c:catAx>
        <c:axId val="2815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99243"/>
        <c:crosses val="autoZero"/>
        <c:auto val="0"/>
        <c:lblOffset val="100"/>
        <c:noMultiLvlLbl val="0"/>
      </c:catAx>
      <c:valAx>
        <c:axId val="52099243"/>
        <c:scaling>
          <c:orientation val="minMax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58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'2008'!$A$6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'2008'!$B$6:$M$6</c:f>
              <c:numCache/>
            </c:numRef>
          </c:val>
        </c:ser>
        <c:dropLines/>
        <c:axId val="59463320"/>
        <c:axId val="65407833"/>
      </c:area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07833"/>
        <c:crosses val="autoZero"/>
        <c:auto val="0"/>
        <c:lblOffset val="100"/>
        <c:noMultiLvlLbl val="0"/>
      </c:catAx>
      <c:valAx>
        <c:axId val="65407833"/>
        <c:scaling>
          <c:orientation val="minMax"/>
        </c:scaling>
        <c:axPos val="l"/>
        <c:majorGridlines/>
        <c:delete val="0"/>
        <c:numFmt formatCode="#,##0\ &quot;F&quot;;\-#,##0\ &quot;F&quot;" sourceLinked="0"/>
        <c:majorTickMark val="in"/>
        <c:minorTickMark val="none"/>
        <c:tickLblPos val="nextTo"/>
        <c:crossAx val="5946332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25"/>
          <c:y val="0.02975"/>
          <c:w val="0.121"/>
          <c:h val="0.194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0"/>
          <c:order val="1"/>
          <c:tx>
            <c:strRef>
              <c:f>'2009'!$A$7</c:f>
              <c:strCache>
                <c:ptCount val="1"/>
                <c:pt idx="0">
                  <c:v>Prix du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'2009'!$B$7:$M$7</c:f>
              <c:numCache/>
            </c:numRef>
          </c:val>
        </c:ser>
        <c:axId val="51799586"/>
        <c:axId val="63543091"/>
      </c:areaChart>
      <c:lineChart>
        <c:grouping val="standard"/>
        <c:varyColors val="0"/>
        <c:ser>
          <c:idx val="1"/>
          <c:order val="0"/>
          <c:tx>
            <c:strRef>
              <c:f>'2009'!$A$8</c:f>
              <c:strCache>
                <c:ptCount val="1"/>
                <c:pt idx="0">
                  <c:v>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'2004'!$B$1:$M$1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'2009'!$B$8:$M$8</c:f>
              <c:numCache/>
            </c:numRef>
          </c:val>
          <c:smooth val="0"/>
        </c:ser>
        <c:axId val="51799586"/>
        <c:axId val="63543091"/>
      </c:line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43091"/>
        <c:crosses val="autoZero"/>
        <c:auto val="0"/>
        <c:lblOffset val="100"/>
        <c:noMultiLvlLbl val="0"/>
      </c:catAx>
      <c:valAx>
        <c:axId val="63543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995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0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3"/>
          <c:y val="-0.0227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33CC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'2009'!$A$2</c:f>
              <c:strCache>
                <c:ptCount val="1"/>
                <c:pt idx="0">
                  <c:v>Kms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'2009'!$B$2:$M$2</c:f>
              <c:numCache/>
            </c:numRef>
          </c:val>
        </c:ser>
        <c:overlap val="100"/>
        <c:gapWidth val="50"/>
        <c:axId val="35016908"/>
        <c:axId val="46716717"/>
      </c:bar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16717"/>
        <c:crosses val="autoZero"/>
        <c:auto val="0"/>
        <c:lblOffset val="100"/>
        <c:noMultiLvlLbl val="0"/>
      </c:catAx>
      <c:valAx>
        <c:axId val="467167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169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9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'2009'!$A$4</c:f>
              <c:strCache>
                <c:ptCount val="1"/>
                <c:pt idx="0">
                  <c:v>Cons.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FF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'2009'!$B$4:$M$4</c:f>
              <c:numCache/>
            </c:numRef>
          </c:val>
        </c:ser>
        <c:gapWidth val="10"/>
        <c:axId val="17797270"/>
        <c:axId val="25957703"/>
      </c:barChart>
      <c:lineChart>
        <c:grouping val="standard"/>
        <c:varyColors val="0"/>
        <c:ser>
          <c:idx val="0"/>
          <c:order val="1"/>
          <c:tx>
            <c:strRef>
              <c:f>'2009'!$A$5</c:f>
              <c:strCache>
                <c:ptCount val="1"/>
                <c:pt idx="0">
                  <c:v>Moyenne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'2009'!$B$5:$M$5</c:f>
            </c:numRef>
          </c:val>
          <c:smooth val="0"/>
        </c:ser>
        <c:axId val="32292736"/>
        <c:axId val="22199169"/>
      </c:line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57703"/>
        <c:crosses val="autoZero"/>
        <c:auto val="0"/>
        <c:lblOffset val="100"/>
        <c:noMultiLvlLbl val="0"/>
      </c:catAx>
      <c:valAx>
        <c:axId val="25957703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MS Sans Serif"/>
                    <a:ea typeface="MS Sans Serif"/>
                    <a:cs typeface="MS Sans Serif"/>
                  </a:rPr>
                  <a:t>L/100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97270"/>
        <c:crossesAt val="1"/>
        <c:crossBetween val="between"/>
        <c:dispUnits/>
      </c:valAx>
      <c:catAx>
        <c:axId val="32292736"/>
        <c:scaling>
          <c:orientation val="minMax"/>
        </c:scaling>
        <c:axPos val="b"/>
        <c:delete val="1"/>
        <c:majorTickMark val="in"/>
        <c:minorTickMark val="none"/>
        <c:tickLblPos val="nextTo"/>
        <c:crossAx val="22199169"/>
        <c:crosses val="autoZero"/>
        <c:auto val="0"/>
        <c:lblOffset val="100"/>
        <c:noMultiLvlLbl val="0"/>
      </c:catAx>
      <c:valAx>
        <c:axId val="22199169"/>
        <c:scaling>
          <c:orientation val="minMax"/>
        </c:scaling>
        <c:axPos val="l"/>
        <c:delete val="1"/>
        <c:majorTickMark val="in"/>
        <c:minorTickMark val="none"/>
        <c:tickLblPos val="nextTo"/>
        <c:crossAx val="32292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-0.02225"/>
        </c:manualLayout>
      </c:layout>
      <c:spPr>
        <a:noFill/>
      </c:spPr>
      <c:txPr>
        <a:bodyPr vert="horz" rot="0"/>
        <a:lstStyle/>
        <a:p>
          <a:pPr>
            <a:defRPr lang="en-US" cap="none" sz="1350" b="1" i="0" u="none" baseline="0">
              <a:solidFill>
                <a:srgbClr val="336666"/>
              </a:solidFill>
              <a:latin typeface="MS Sans Serif"/>
              <a:ea typeface="MS Sans Serif"/>
              <a:cs typeface="MS Sans Serif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'2009'!$A$3</c:f>
              <c:strCache>
                <c:ptCount val="1"/>
                <c:pt idx="0">
                  <c:v>Litres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'2009'!$B$3:$M$3</c:f>
              <c:numCache/>
            </c:numRef>
          </c:val>
        </c:ser>
        <c:dropLines/>
        <c:axId val="65574794"/>
        <c:axId val="53302235"/>
      </c:areaChart>
      <c:catAx>
        <c:axId val="65574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02235"/>
        <c:crosses val="autoZero"/>
        <c:auto val="0"/>
        <c:lblOffset val="100"/>
        <c:noMultiLvlLbl val="0"/>
      </c:catAx>
      <c:valAx>
        <c:axId val="53302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74794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'2009'!$A$6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'2003'!$B$1:$M$1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Jui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'2009'!$B$6:$M$6</c:f>
              <c:numCache/>
            </c:numRef>
          </c:val>
        </c:ser>
        <c:dropLines/>
        <c:axId val="9958068"/>
        <c:axId val="22513749"/>
      </c:areaChart>
      <c:catAx>
        <c:axId val="995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13749"/>
        <c:crosses val="autoZero"/>
        <c:auto val="0"/>
        <c:lblOffset val="100"/>
        <c:noMultiLvlLbl val="0"/>
      </c:catAx>
      <c:valAx>
        <c:axId val="22513749"/>
        <c:scaling>
          <c:orientation val="minMax"/>
        </c:scaling>
        <c:axPos val="l"/>
        <c:majorGridlines/>
        <c:delete val="0"/>
        <c:numFmt formatCode="#,##0\ &quot;F&quot;;\-#,##0\ &quot;F&quot;" sourceLinked="0"/>
        <c:majorTickMark val="in"/>
        <c:minorTickMark val="none"/>
        <c:tickLblPos val="nextTo"/>
        <c:crossAx val="99580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25"/>
          <c:y val="0.02975"/>
          <c:w val="0.121"/>
          <c:h val="0.194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Nombre de Kms par an</a:t>
            </a:r>
          </a:p>
        </c:rich>
      </c:tx>
      <c:layout/>
      <c:spPr>
        <a:noFill/>
        <a:ln>
          <a:noFill/>
        </a:ln>
      </c:spPr>
    </c:title>
    <c:view3D>
      <c:rotX val="20"/>
      <c:rotY val="18"/>
      <c:depthPercent val="25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0"/>
        <c:ser>
          <c:idx val="0"/>
          <c:order val="0"/>
          <c:tx>
            <c:strRef>
              <c:f>Récap!$B$2</c:f>
              <c:strCache>
                <c:ptCount val="1"/>
                <c:pt idx="0">
                  <c:v>Kms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Récap!$A$3:$A$9</c:f>
              <c:numCache/>
            </c:numRef>
          </c:cat>
          <c:val>
            <c:numRef>
              <c:f>Récap!$B$3:$B$9</c:f>
              <c:numCache/>
            </c:numRef>
          </c:val>
        </c:ser>
        <c:dropLines/>
        <c:gapDepth val="50"/>
        <c:axId val="1297150"/>
        <c:axId val="11674351"/>
        <c:axId val="37960296"/>
      </c:area3DChart>
      <c:catAx>
        <c:axId val="1297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674351"/>
        <c:crosses val="autoZero"/>
        <c:auto val="0"/>
        <c:lblOffset val="100"/>
        <c:noMultiLvlLbl val="0"/>
      </c:catAx>
      <c:valAx>
        <c:axId val="11674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7150"/>
        <c:crossesAt val="1"/>
        <c:crossBetween val="midCat"/>
        <c:dispUnits/>
      </c:valAx>
      <c:serAx>
        <c:axId val="37960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674351"/>
        <c:crosses val="autoZero"/>
        <c:tickLblSkip val="1"/>
        <c:tickMarkSkip val="1"/>
      </c:ser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0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Litres consommés par an</a:t>
            </a:r>
          </a:p>
        </c:rich>
      </c:tx>
      <c:layout>
        <c:manualLayout>
          <c:xMode val="factor"/>
          <c:yMode val="factor"/>
          <c:x val="0.08175"/>
          <c:y val="-0.02"/>
        </c:manualLayout>
      </c:layout>
      <c:spPr>
        <a:noFill/>
        <a:ln>
          <a:noFill/>
        </a:ln>
      </c:spPr>
    </c:title>
    <c:view3D>
      <c:rotX val="13"/>
      <c:rotY val="15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Récap!$C$2</c:f>
              <c:strCache>
                <c:ptCount val="1"/>
                <c:pt idx="0">
                  <c:v>Litres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Récap!$A$3:$A$9</c:f>
              <c:numCache/>
            </c:numRef>
          </c:cat>
          <c:val>
            <c:numRef>
              <c:f>Récap!$C$3:$C$9</c:f>
              <c:numCache/>
            </c:numRef>
          </c:val>
          <c:shape val="cylinder"/>
        </c:ser>
        <c:gapWidth val="20"/>
        <c:gapDepth val="50"/>
        <c:shape val="box"/>
        <c:axId val="6098345"/>
        <c:axId val="54885106"/>
        <c:axId val="24203907"/>
      </c:bar3DChart>
      <c:catAx>
        <c:axId val="6098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885106"/>
        <c:crosses val="autoZero"/>
        <c:auto val="0"/>
        <c:lblOffset val="100"/>
        <c:noMultiLvlLbl val="0"/>
      </c:catAx>
      <c:valAx>
        <c:axId val="54885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8345"/>
        <c:crossesAt val="1"/>
        <c:crossBetween val="between"/>
        <c:dispUnits/>
      </c:valAx>
      <c:serAx>
        <c:axId val="2420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85106"/>
        <c:crosses val="autoZero"/>
        <c:tickLblSkip val="1"/>
        <c:tickMarkSkip val="1"/>
      </c:serAx>
      <c:spPr>
        <a:solidFill>
          <a:srgbClr val="969696"/>
        </a:solidFill>
        <a:ln w="12700">
          <a:solidFill>
            <a:srgbClr val="008080"/>
          </a:solidFill>
        </a:ln>
      </c:spPr>
    </c:plotArea>
    <c:floo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Budget en € par an</a:t>
            </a:r>
          </a:p>
        </c:rich>
      </c:tx>
      <c:layout>
        <c:manualLayout>
          <c:xMode val="factor"/>
          <c:yMode val="factor"/>
          <c:x val="0.08925"/>
          <c:y val="0.0185"/>
        </c:manualLayout>
      </c:layout>
      <c:spPr>
        <a:noFill/>
        <a:ln>
          <a:noFill/>
        </a:ln>
      </c:spPr>
    </c:title>
    <c:view3D>
      <c:rotX val="41"/>
      <c:rotY val="44"/>
      <c:depthPercent val="200"/>
      <c:rAngAx val="1"/>
    </c:view3D>
    <c:plotArea>
      <c:layout>
        <c:manualLayout>
          <c:xMode val="edge"/>
          <c:yMode val="edge"/>
          <c:x val="0"/>
          <c:y val="0.0275"/>
          <c:w val="0.93425"/>
          <c:h val="0.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Récap!$E$2</c:f>
              <c:strCache>
                <c:ptCount val="1"/>
                <c:pt idx="0">
                  <c:v>Budget ( € 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Récap!$A$3:$A$9</c:f>
              <c:numCache/>
            </c:numRef>
          </c:cat>
          <c:val>
            <c:numRef>
              <c:f>Récap!$E$3:$E$9</c:f>
              <c:numCache/>
            </c:numRef>
          </c:val>
          <c:shape val="box"/>
        </c:ser>
        <c:gapDepth val="0"/>
        <c:shape val="box"/>
        <c:axId val="16508572"/>
        <c:axId val="14359421"/>
      </c:bar3D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59421"/>
        <c:crosses val="autoZero"/>
        <c:auto val="0"/>
        <c:lblOffset val="100"/>
        <c:noMultiLvlLbl val="0"/>
      </c:catAx>
      <c:valAx>
        <c:axId val="1435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0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"/>
          <c:y val="0.14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Consommation Moyenne annuelle</a:t>
            </a:r>
          </a:p>
        </c:rich>
      </c:tx>
      <c:layout>
        <c:manualLayout>
          <c:xMode val="factor"/>
          <c:yMode val="factor"/>
          <c:x val="0.0235"/>
          <c:y val="-0.01825"/>
        </c:manualLayout>
      </c:layout>
      <c:spPr>
        <a:noFill/>
        <a:ln>
          <a:noFill/>
        </a:ln>
      </c:spPr>
    </c:title>
    <c:view3D>
      <c:rotX val="24"/>
      <c:rotY val="26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ndard"/>
        <c:varyColors val="1"/>
        <c:ser>
          <c:idx val="0"/>
          <c:order val="0"/>
          <c:tx>
            <c:strRef>
              <c:f>Récap!$G$2</c:f>
              <c:strCache>
                <c:ptCount val="1"/>
                <c:pt idx="0">
                  <c:v>Conso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Récap!$A$3:$A$9</c:f>
              <c:numCache/>
            </c:numRef>
          </c:cat>
          <c:val>
            <c:numRef>
              <c:f>Récap!$G$3:$G$9</c:f>
              <c:numCache/>
            </c:numRef>
          </c:val>
        </c:ser>
        <c:dropLines>
          <c:spPr>
            <a:ln w="12700">
              <a:solidFill>
                <a:srgbClr val="000000"/>
              </a:solidFill>
            </a:ln>
          </c:spPr>
        </c:dropLines>
        <c:gapDepth val="50"/>
        <c:axId val="62125926"/>
        <c:axId val="22262423"/>
        <c:axId val="66144080"/>
      </c:area3DChart>
      <c:catAx>
        <c:axId val="62125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262423"/>
        <c:crosses val="autoZero"/>
        <c:auto val="0"/>
        <c:lblOffset val="100"/>
        <c:noMultiLvlLbl val="0"/>
      </c:catAx>
      <c:valAx>
        <c:axId val="22262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25926"/>
        <c:crossesAt val="1"/>
        <c:crossBetween val="midCat"/>
        <c:dispUnits/>
      </c:valAx>
      <c:serAx>
        <c:axId val="66144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2262423"/>
        <c:crosses val="autoZero"/>
        <c:tickLblSkip val="1"/>
        <c:tickMarkSkip val="1"/>
      </c:ser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"/>
          <c:y val="0.014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MS Sans Serif"/>
                <a:ea typeface="MS Sans Serif"/>
                <a:cs typeface="MS Sans Serif"/>
              </a:rPr>
              <a:t>Kms parcourus</a:t>
            </a:r>
          </a:p>
        </c:rich>
      </c:tx>
      <c:layout>
        <c:manualLayout>
          <c:xMode val="factor"/>
          <c:yMode val="factor"/>
          <c:x val="-0.09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975"/>
          <c:w val="0.956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Conso2!$C$2:$C$21</c:f>
              <c:numCache/>
            </c:numRef>
          </c:val>
        </c:ser>
        <c:overlap val="100"/>
        <c:gapWidth val="30"/>
        <c:axId val="66240004"/>
        <c:axId val="59289125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89125"/>
        <c:crosses val="autoZero"/>
        <c:auto val="0"/>
        <c:lblOffset val="100"/>
        <c:noMultiLvlLbl val="0"/>
      </c:catAx>
      <c:valAx>
        <c:axId val="5928912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4000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Prix de l'essence</a:t>
            </a:r>
          </a:p>
        </c:rich>
      </c:tx>
      <c:layout/>
      <c:spPr>
        <a:noFill/>
        <a:ln>
          <a:noFill/>
        </a:ln>
      </c:spPr>
    </c:title>
    <c:view3D>
      <c:rotX val="20"/>
      <c:rotY val="44"/>
      <c:depthPercent val="13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Récap!$F$2</c:f>
              <c:strCache>
                <c:ptCount val="1"/>
                <c:pt idx="0">
                  <c:v>Prix au Litre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Récap!$A$3:$A$9</c:f>
              <c:numCache/>
            </c:numRef>
          </c:cat>
          <c:val>
            <c:numRef>
              <c:f>Récap!$F$3:$F$9</c:f>
              <c:numCache/>
            </c:numRef>
          </c:val>
        </c:ser>
        <c:dropLines/>
        <c:gapDepth val="0"/>
        <c:axId val="58425809"/>
        <c:axId val="56070234"/>
      </c:area3DChart>
      <c:catAx>
        <c:axId val="5842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070234"/>
        <c:crosses val="autoZero"/>
        <c:auto val="0"/>
        <c:lblOffset val="100"/>
        <c:noMultiLvlLbl val="0"/>
      </c:catAx>
      <c:valAx>
        <c:axId val="56070234"/>
        <c:scaling>
          <c:orientation val="minMax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809"/>
        <c:crossesAt val="1"/>
        <c:crossBetween val="midCat"/>
        <c:dispUnits/>
      </c:valAx>
      <c:spPr>
        <a:solidFill>
          <a:srgbClr val="969696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06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Prix du litre de l'essence</a:t>
            </a:r>
          </a:p>
        </c:rich>
      </c:tx>
      <c:layout>
        <c:manualLayout>
          <c:xMode val="factor"/>
          <c:yMode val="factor"/>
          <c:x val="0.004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Conso2!$I$2:$I$21</c:f>
              <c:numCache/>
            </c:numRef>
          </c:val>
        </c:ser>
        <c:axId val="63840078"/>
        <c:axId val="37689791"/>
      </c:areaChart>
      <c:lineChart>
        <c:grouping val="standard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Conso2!$J$2:$J$21</c:f>
            </c:numRef>
          </c:val>
          <c:smooth val="0"/>
        </c:ser>
        <c:axId val="63840078"/>
        <c:axId val="37689791"/>
      </c:lineChart>
      <c:catAx>
        <c:axId val="63840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89791"/>
        <c:crosses val="autoZero"/>
        <c:auto val="0"/>
        <c:lblOffset val="100"/>
        <c:noMultiLvlLbl val="0"/>
      </c:catAx>
      <c:valAx>
        <c:axId val="37689791"/>
        <c:scaling>
          <c:orientation val="minMax"/>
          <c:min val="0.9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84007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Vitesse Moyenne</a:t>
            </a:r>
          </a:p>
        </c:rich>
      </c:tx>
      <c:layout/>
      <c:spPr>
        <a:noFill/>
        <a:ln>
          <a:noFill/>
        </a:ln>
      </c:spPr>
    </c:title>
    <c:view3D>
      <c:rotX val="45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3DChart>
        <c:grouping val="stacked"/>
        <c:varyColors val="0"/>
        <c:ser>
          <c:idx val="0"/>
          <c:order val="0"/>
          <c:tx>
            <c:strRef>
              <c:f>Conso2!$K$1</c:f>
              <c:strCache>
                <c:ptCount val="1"/>
                <c:pt idx="0">
                  <c:v>Vitesse 
Moyenne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Conso2!$K$2:$K$21</c:f>
              <c:numCache/>
            </c:numRef>
          </c:val>
        </c:ser>
        <c:axId val="3663800"/>
        <c:axId val="32974201"/>
      </c:area3DChart>
      <c:catAx>
        <c:axId val="3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74201"/>
        <c:crosses val="autoZero"/>
        <c:auto val="1"/>
        <c:lblOffset val="100"/>
        <c:noMultiLvlLbl val="0"/>
      </c:catAx>
      <c:valAx>
        <c:axId val="32974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80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Consommation en litres au 100 Kms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"/>
          <c:w val="0.98225"/>
          <c:h val="0.95"/>
        </c:manualLayout>
      </c:layout>
      <c:areaChart>
        <c:grouping val="standard"/>
        <c:varyColors val="0"/>
        <c:ser>
          <c:idx val="1"/>
          <c:order val="0"/>
          <c:tx>
            <c:strRef>
              <c:f>Conso3!$F$1</c:f>
              <c:strCache>
                <c:ptCount val="1"/>
                <c:pt idx="0">
                  <c:v>Cons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Conso3!$F$2:$F$21</c:f>
              <c:numCache/>
            </c:numRef>
          </c:val>
        </c:ser>
        <c:axId val="28332354"/>
        <c:axId val="53664595"/>
      </c:areaChart>
      <c:lineChart>
        <c:grouping val="standard"/>
        <c:varyColors val="0"/>
        <c:ser>
          <c:idx val="0"/>
          <c:order val="1"/>
          <c:tx>
            <c:strRef>
              <c:f>Conso3!$G$1</c:f>
              <c:strCache>
                <c:ptCount val="1"/>
                <c:pt idx="0">
                  <c:v>Moy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Conso3!$G$2:$G$21</c:f>
            </c:numRef>
          </c:val>
          <c:smooth val="0"/>
        </c:ser>
        <c:axId val="28332354"/>
        <c:axId val="53664595"/>
      </c:line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4595"/>
        <c:crosses val="autoZero"/>
        <c:auto val="0"/>
        <c:lblOffset val="100"/>
        <c:noMultiLvlLbl val="0"/>
      </c:catAx>
      <c:valAx>
        <c:axId val="53664595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323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0.19075</cdr:y>
    </cdr:from>
    <cdr:to>
      <cdr:x>0.7945</cdr:x>
      <cdr:y>0.33</cdr:y>
    </cdr:to>
    <cdr:sp>
      <cdr:nvSpPr>
        <cdr:cNvPr id="1" name="Texte 1"/>
        <cdr:cNvSpPr txBox="1">
          <a:spLocks noChangeArrowheads="1"/>
        </cdr:cNvSpPr>
      </cdr:nvSpPr>
      <cdr:spPr>
        <a:xfrm>
          <a:off x="2638425" y="352425"/>
          <a:ext cx="1581150" cy="257175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Moyenne: 12,59 l/100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9525" y="5715000"/>
        <a:ext cx="52482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11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3962400"/>
        <a:ext cx="52578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44</xdr:row>
      <xdr:rowOff>85725</xdr:rowOff>
    </xdr:from>
    <xdr:to>
      <xdr:col>11</xdr:col>
      <xdr:colOff>0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7562850"/>
        <a:ext cx="52578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76200</xdr:rowOff>
    </xdr:from>
    <xdr:to>
      <xdr:col>11</xdr:col>
      <xdr:colOff>0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0" y="9172575"/>
        <a:ext cx="52578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0.09625</cdr:y>
    </cdr:from>
    <cdr:to>
      <cdr:x>0.608</cdr:x>
      <cdr:y>0.22525</cdr:y>
    </cdr:to>
    <cdr:sp>
      <cdr:nvSpPr>
        <cdr:cNvPr id="1" name="Texte 1"/>
        <cdr:cNvSpPr txBox="1">
          <a:spLocks noChangeArrowheads="1"/>
        </cdr:cNvSpPr>
      </cdr:nvSpPr>
      <cdr:spPr>
        <a:xfrm>
          <a:off x="5267325" y="161925"/>
          <a:ext cx="112395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Moy= 12,42 l/100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19</xdr:row>
      <xdr:rowOff>0</xdr:rowOff>
    </xdr:from>
    <xdr:to>
      <xdr:col>14</xdr:col>
      <xdr:colOff>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5019675" y="2809875"/>
        <a:ext cx="551497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18</xdr:row>
      <xdr:rowOff>152400</xdr:rowOff>
    </xdr:to>
    <xdr:graphicFrame>
      <xdr:nvGraphicFramePr>
        <xdr:cNvPr id="2" name="Chart 5"/>
        <xdr:cNvGraphicFramePr/>
      </xdr:nvGraphicFramePr>
      <xdr:xfrm>
        <a:off x="9525" y="1028700"/>
        <a:ext cx="1052512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6</xdr:col>
      <xdr:colOff>504825</xdr:colOff>
      <xdr:row>28</xdr:row>
      <xdr:rowOff>66675</xdr:rowOff>
    </xdr:to>
    <xdr:graphicFrame>
      <xdr:nvGraphicFramePr>
        <xdr:cNvPr id="3" name="Chart 7"/>
        <xdr:cNvGraphicFramePr/>
      </xdr:nvGraphicFramePr>
      <xdr:xfrm>
        <a:off x="9525" y="2809875"/>
        <a:ext cx="501015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0</xdr:colOff>
      <xdr:row>37</xdr:row>
      <xdr:rowOff>85725</xdr:rowOff>
    </xdr:to>
    <xdr:graphicFrame>
      <xdr:nvGraphicFramePr>
        <xdr:cNvPr id="4" name="Chart 9"/>
        <xdr:cNvGraphicFramePr/>
      </xdr:nvGraphicFramePr>
      <xdr:xfrm>
        <a:off x="0" y="4333875"/>
        <a:ext cx="10534650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685800</xdr:colOff>
      <xdr:row>49</xdr:row>
      <xdr:rowOff>104775</xdr:rowOff>
    </xdr:to>
    <xdr:graphicFrame>
      <xdr:nvGraphicFramePr>
        <xdr:cNvPr id="5" name="Chart 10"/>
        <xdr:cNvGraphicFramePr/>
      </xdr:nvGraphicFramePr>
      <xdr:xfrm>
        <a:off x="0" y="5886450"/>
        <a:ext cx="10467975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0.01475</cdr:y>
    </cdr:from>
    <cdr:to>
      <cdr:x>0.495</cdr:x>
      <cdr:y>0.134</cdr:y>
    </cdr:to>
    <cdr:sp>
      <cdr:nvSpPr>
        <cdr:cNvPr id="1" name="Texte 1"/>
        <cdr:cNvSpPr txBox="1">
          <a:spLocks noChangeArrowheads="1"/>
        </cdr:cNvSpPr>
      </cdr:nvSpPr>
      <cdr:spPr>
        <a:xfrm>
          <a:off x="4086225" y="19050"/>
          <a:ext cx="1123950" cy="209550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Moy= 13,14 l/100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114300</xdr:rowOff>
    </xdr:from>
    <xdr:to>
      <xdr:col>13</xdr:col>
      <xdr:colOff>723900</xdr:colOff>
      <xdr:row>50</xdr:row>
      <xdr:rowOff>66675</xdr:rowOff>
    </xdr:to>
    <xdr:graphicFrame>
      <xdr:nvGraphicFramePr>
        <xdr:cNvPr id="1" name="Chart 6"/>
        <xdr:cNvGraphicFramePr/>
      </xdr:nvGraphicFramePr>
      <xdr:xfrm>
        <a:off x="9525" y="5981700"/>
        <a:ext cx="105060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19</xdr:row>
      <xdr:rowOff>0</xdr:rowOff>
    </xdr:from>
    <xdr:to>
      <xdr:col>14</xdr:col>
      <xdr:colOff>0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5029200" y="2952750"/>
        <a:ext cx="55149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9525" y="1171575"/>
        <a:ext cx="105346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19</xdr:row>
      <xdr:rowOff>0</xdr:rowOff>
    </xdr:from>
    <xdr:to>
      <xdr:col>6</xdr:col>
      <xdr:colOff>504825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9525" y="2952750"/>
        <a:ext cx="5019675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0</xdr:colOff>
      <xdr:row>37</xdr:row>
      <xdr:rowOff>85725</xdr:rowOff>
    </xdr:to>
    <xdr:graphicFrame>
      <xdr:nvGraphicFramePr>
        <xdr:cNvPr id="5" name="Chart 5"/>
        <xdr:cNvGraphicFramePr/>
      </xdr:nvGraphicFramePr>
      <xdr:xfrm>
        <a:off x="0" y="4476750"/>
        <a:ext cx="1054417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0.04675</cdr:y>
    </cdr:from>
    <cdr:to>
      <cdr:x>0.5335</cdr:x>
      <cdr:y>0.18575</cdr:y>
    </cdr:to>
    <cdr:sp>
      <cdr:nvSpPr>
        <cdr:cNvPr id="1" name="Texte 1"/>
        <cdr:cNvSpPr txBox="1">
          <a:spLocks noChangeArrowheads="1"/>
        </cdr:cNvSpPr>
      </cdr:nvSpPr>
      <cdr:spPr>
        <a:xfrm>
          <a:off x="3276600" y="76200"/>
          <a:ext cx="1238250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Moy=  11,70 L/100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19050</xdr:rowOff>
    </xdr:from>
    <xdr:to>
      <xdr:col>14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9525" y="5553075"/>
        <a:ext cx="847725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19</xdr:row>
      <xdr:rowOff>66675</xdr:rowOff>
    </xdr:from>
    <xdr:to>
      <xdr:col>14</xdr:col>
      <xdr:colOff>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4162425" y="2847975"/>
        <a:ext cx="4324350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104775</xdr:rowOff>
    </xdr:from>
    <xdr:to>
      <xdr:col>14</xdr:col>
      <xdr:colOff>0</xdr:colOff>
      <xdr:row>19</xdr:row>
      <xdr:rowOff>38100</xdr:rowOff>
    </xdr:to>
    <xdr:graphicFrame>
      <xdr:nvGraphicFramePr>
        <xdr:cNvPr id="3" name="Chart 3"/>
        <xdr:cNvGraphicFramePr/>
      </xdr:nvGraphicFramePr>
      <xdr:xfrm>
        <a:off x="9525" y="1104900"/>
        <a:ext cx="847725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19</xdr:row>
      <xdr:rowOff>66675</xdr:rowOff>
    </xdr:from>
    <xdr:to>
      <xdr:col>6</xdr:col>
      <xdr:colOff>504825</xdr:colOff>
      <xdr:row>27</xdr:row>
      <xdr:rowOff>76200</xdr:rowOff>
    </xdr:to>
    <xdr:graphicFrame>
      <xdr:nvGraphicFramePr>
        <xdr:cNvPr id="4" name="Chart 4"/>
        <xdr:cNvGraphicFramePr/>
      </xdr:nvGraphicFramePr>
      <xdr:xfrm>
        <a:off x="9525" y="2847975"/>
        <a:ext cx="415290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85725</xdr:rowOff>
    </xdr:from>
    <xdr:to>
      <xdr:col>14</xdr:col>
      <xdr:colOff>0</xdr:colOff>
      <xdr:row>36</xdr:row>
      <xdr:rowOff>19050</xdr:rowOff>
    </xdr:to>
    <xdr:graphicFrame>
      <xdr:nvGraphicFramePr>
        <xdr:cNvPr id="5" name="Chart 5"/>
        <xdr:cNvGraphicFramePr/>
      </xdr:nvGraphicFramePr>
      <xdr:xfrm>
        <a:off x="0" y="4162425"/>
        <a:ext cx="8486775" cy="139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0.0205</cdr:y>
    </cdr:from>
    <cdr:to>
      <cdr:x>0.5205</cdr:x>
      <cdr:y>0.219</cdr:y>
    </cdr:to>
    <cdr:sp>
      <cdr:nvSpPr>
        <cdr:cNvPr id="1" name="Texte 1"/>
        <cdr:cNvSpPr txBox="1">
          <a:spLocks noChangeArrowheads="1"/>
        </cdr:cNvSpPr>
      </cdr:nvSpPr>
      <cdr:spPr>
        <a:xfrm>
          <a:off x="5038725" y="19050"/>
          <a:ext cx="1104900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Moy= 0,00 L/100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13</xdr:col>
      <xdr:colOff>666750</xdr:colOff>
      <xdr:row>44</xdr:row>
      <xdr:rowOff>142875</xdr:rowOff>
    </xdr:to>
    <xdr:graphicFrame>
      <xdr:nvGraphicFramePr>
        <xdr:cNvPr id="1" name="Chart 6"/>
        <xdr:cNvGraphicFramePr/>
      </xdr:nvGraphicFramePr>
      <xdr:xfrm>
        <a:off x="9525" y="5286375"/>
        <a:ext cx="118014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15</xdr:row>
      <xdr:rowOff>66675</xdr:rowOff>
    </xdr:from>
    <xdr:to>
      <xdr:col>14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5648325" y="2200275"/>
        <a:ext cx="6162675" cy="125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15</xdr:row>
      <xdr:rowOff>66675</xdr:rowOff>
    </xdr:to>
    <xdr:graphicFrame>
      <xdr:nvGraphicFramePr>
        <xdr:cNvPr id="3" name="Chart 3"/>
        <xdr:cNvGraphicFramePr/>
      </xdr:nvGraphicFramePr>
      <xdr:xfrm>
        <a:off x="9525" y="1000125"/>
        <a:ext cx="11801475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15</xdr:row>
      <xdr:rowOff>57150</xdr:rowOff>
    </xdr:from>
    <xdr:to>
      <xdr:col>6</xdr:col>
      <xdr:colOff>504825</xdr:colOff>
      <xdr:row>23</xdr:row>
      <xdr:rowOff>38100</xdr:rowOff>
    </xdr:to>
    <xdr:graphicFrame>
      <xdr:nvGraphicFramePr>
        <xdr:cNvPr id="4" name="Chart 4"/>
        <xdr:cNvGraphicFramePr/>
      </xdr:nvGraphicFramePr>
      <xdr:xfrm>
        <a:off x="9525" y="2190750"/>
        <a:ext cx="5638800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14</xdr:col>
      <xdr:colOff>0</xdr:colOff>
      <xdr:row>34</xdr:row>
      <xdr:rowOff>9525</xdr:rowOff>
    </xdr:to>
    <xdr:graphicFrame>
      <xdr:nvGraphicFramePr>
        <xdr:cNvPr id="5" name="Chart 5"/>
        <xdr:cNvGraphicFramePr/>
      </xdr:nvGraphicFramePr>
      <xdr:xfrm>
        <a:off x="0" y="3467100"/>
        <a:ext cx="1181100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0.03375</cdr:y>
    </cdr:from>
    <cdr:to>
      <cdr:x>0.612</cdr:x>
      <cdr:y>0.23225</cdr:y>
    </cdr:to>
    <cdr:sp>
      <cdr:nvSpPr>
        <cdr:cNvPr id="1" name="Texte 1"/>
        <cdr:cNvSpPr txBox="1">
          <a:spLocks noChangeArrowheads="1"/>
        </cdr:cNvSpPr>
      </cdr:nvSpPr>
      <cdr:spPr>
        <a:xfrm>
          <a:off x="5505450" y="38100"/>
          <a:ext cx="933450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Moy= 0,00L/100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9525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9525" y="5553075"/>
        <a:ext cx="53149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11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3800475"/>
        <a:ext cx="53149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44</xdr:row>
      <xdr:rowOff>85725</xdr:rowOff>
    </xdr:from>
    <xdr:to>
      <xdr:col>11</xdr:col>
      <xdr:colOff>0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7400925"/>
        <a:ext cx="531495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76200</xdr:rowOff>
    </xdr:from>
    <xdr:to>
      <xdr:col>11</xdr:col>
      <xdr:colOff>9525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0" y="9010650"/>
        <a:ext cx="532447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13</xdr:col>
      <xdr:colOff>723900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525" y="5286375"/>
        <a:ext cx="104965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15</xdr:row>
      <xdr:rowOff>66675</xdr:rowOff>
    </xdr:from>
    <xdr:to>
      <xdr:col>14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5019675" y="2200275"/>
        <a:ext cx="5514975" cy="125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15</xdr:row>
      <xdr:rowOff>66675</xdr:rowOff>
    </xdr:to>
    <xdr:graphicFrame>
      <xdr:nvGraphicFramePr>
        <xdr:cNvPr id="3" name="Chart 3"/>
        <xdr:cNvGraphicFramePr/>
      </xdr:nvGraphicFramePr>
      <xdr:xfrm>
        <a:off x="9525" y="1000125"/>
        <a:ext cx="10525125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15</xdr:row>
      <xdr:rowOff>57150</xdr:rowOff>
    </xdr:from>
    <xdr:to>
      <xdr:col>6</xdr:col>
      <xdr:colOff>504825</xdr:colOff>
      <xdr:row>23</xdr:row>
      <xdr:rowOff>38100</xdr:rowOff>
    </xdr:to>
    <xdr:graphicFrame>
      <xdr:nvGraphicFramePr>
        <xdr:cNvPr id="4" name="Chart 4"/>
        <xdr:cNvGraphicFramePr/>
      </xdr:nvGraphicFramePr>
      <xdr:xfrm>
        <a:off x="9525" y="2190750"/>
        <a:ext cx="5010150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14</xdr:col>
      <xdr:colOff>0</xdr:colOff>
      <xdr:row>34</xdr:row>
      <xdr:rowOff>9525</xdr:rowOff>
    </xdr:to>
    <xdr:graphicFrame>
      <xdr:nvGraphicFramePr>
        <xdr:cNvPr id="5" name="Chart 5"/>
        <xdr:cNvGraphicFramePr/>
      </xdr:nvGraphicFramePr>
      <xdr:xfrm>
        <a:off x="0" y="3467100"/>
        <a:ext cx="105346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</cdr:x>
      <cdr:y>0.08975</cdr:y>
    </cdr:from>
    <cdr:to>
      <cdr:x>0.97475</cdr:x>
      <cdr:y>0.28825</cdr:y>
    </cdr:to>
    <cdr:sp>
      <cdr:nvSpPr>
        <cdr:cNvPr id="1" name="Texte 1"/>
        <cdr:cNvSpPr txBox="1">
          <a:spLocks noChangeArrowheads="1"/>
        </cdr:cNvSpPr>
      </cdr:nvSpPr>
      <cdr:spPr>
        <a:xfrm>
          <a:off x="9324975" y="104775"/>
          <a:ext cx="933450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Moy= 0,00L/100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13</xdr:col>
      <xdr:colOff>723900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525" y="5286375"/>
        <a:ext cx="104965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15</xdr:row>
      <xdr:rowOff>66675</xdr:rowOff>
    </xdr:from>
    <xdr:to>
      <xdr:col>14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5019675" y="2200275"/>
        <a:ext cx="5514975" cy="125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15</xdr:row>
      <xdr:rowOff>66675</xdr:rowOff>
    </xdr:to>
    <xdr:graphicFrame>
      <xdr:nvGraphicFramePr>
        <xdr:cNvPr id="3" name="Chart 3"/>
        <xdr:cNvGraphicFramePr/>
      </xdr:nvGraphicFramePr>
      <xdr:xfrm>
        <a:off x="9525" y="1000125"/>
        <a:ext cx="10525125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15</xdr:row>
      <xdr:rowOff>57150</xdr:rowOff>
    </xdr:from>
    <xdr:to>
      <xdr:col>6</xdr:col>
      <xdr:colOff>504825</xdr:colOff>
      <xdr:row>23</xdr:row>
      <xdr:rowOff>38100</xdr:rowOff>
    </xdr:to>
    <xdr:graphicFrame>
      <xdr:nvGraphicFramePr>
        <xdr:cNvPr id="4" name="Chart 4"/>
        <xdr:cNvGraphicFramePr/>
      </xdr:nvGraphicFramePr>
      <xdr:xfrm>
        <a:off x="9525" y="2190750"/>
        <a:ext cx="5010150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14</xdr:col>
      <xdr:colOff>0</xdr:colOff>
      <xdr:row>34</xdr:row>
      <xdr:rowOff>9525</xdr:rowOff>
    </xdr:to>
    <xdr:graphicFrame>
      <xdr:nvGraphicFramePr>
        <xdr:cNvPr id="5" name="Chart 5"/>
        <xdr:cNvGraphicFramePr/>
      </xdr:nvGraphicFramePr>
      <xdr:xfrm>
        <a:off x="0" y="3467100"/>
        <a:ext cx="105346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</cdr:x>
      <cdr:y>0.08975</cdr:y>
    </cdr:from>
    <cdr:to>
      <cdr:x>0.97475</cdr:x>
      <cdr:y>0.28825</cdr:y>
    </cdr:to>
    <cdr:sp>
      <cdr:nvSpPr>
        <cdr:cNvPr id="1" name="Texte 1"/>
        <cdr:cNvSpPr txBox="1">
          <a:spLocks noChangeArrowheads="1"/>
        </cdr:cNvSpPr>
      </cdr:nvSpPr>
      <cdr:spPr>
        <a:xfrm>
          <a:off x="9324975" y="104775"/>
          <a:ext cx="933450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00FF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Moy= 0,00L/100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76200</xdr:rowOff>
    </xdr:from>
    <xdr:to>
      <xdr:col>13</xdr:col>
      <xdr:colOff>723900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9525" y="5286375"/>
        <a:ext cx="104965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15</xdr:row>
      <xdr:rowOff>66675</xdr:rowOff>
    </xdr:from>
    <xdr:to>
      <xdr:col>14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5019675" y="2200275"/>
        <a:ext cx="5514975" cy="125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0</xdr:rowOff>
    </xdr:from>
    <xdr:to>
      <xdr:col>14</xdr:col>
      <xdr:colOff>0</xdr:colOff>
      <xdr:row>15</xdr:row>
      <xdr:rowOff>66675</xdr:rowOff>
    </xdr:to>
    <xdr:graphicFrame>
      <xdr:nvGraphicFramePr>
        <xdr:cNvPr id="3" name="Chart 3"/>
        <xdr:cNvGraphicFramePr/>
      </xdr:nvGraphicFramePr>
      <xdr:xfrm>
        <a:off x="9525" y="1000125"/>
        <a:ext cx="10525125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15</xdr:row>
      <xdr:rowOff>57150</xdr:rowOff>
    </xdr:from>
    <xdr:to>
      <xdr:col>6</xdr:col>
      <xdr:colOff>504825</xdr:colOff>
      <xdr:row>23</xdr:row>
      <xdr:rowOff>38100</xdr:rowOff>
    </xdr:to>
    <xdr:graphicFrame>
      <xdr:nvGraphicFramePr>
        <xdr:cNvPr id="4" name="Chart 4"/>
        <xdr:cNvGraphicFramePr/>
      </xdr:nvGraphicFramePr>
      <xdr:xfrm>
        <a:off x="9525" y="2190750"/>
        <a:ext cx="5010150" cy="127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14</xdr:col>
      <xdr:colOff>0</xdr:colOff>
      <xdr:row>34</xdr:row>
      <xdr:rowOff>9525</xdr:rowOff>
    </xdr:to>
    <xdr:graphicFrame>
      <xdr:nvGraphicFramePr>
        <xdr:cNvPr id="5" name="Chart 5"/>
        <xdr:cNvGraphicFramePr/>
      </xdr:nvGraphicFramePr>
      <xdr:xfrm>
        <a:off x="0" y="3467100"/>
        <a:ext cx="105346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28575</xdr:rowOff>
    </xdr:from>
    <xdr:to>
      <xdr:col>11</xdr:col>
      <xdr:colOff>352425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3381375" y="200025"/>
        <a:ext cx="33909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1</xdr:row>
      <xdr:rowOff>28575</xdr:rowOff>
    </xdr:from>
    <xdr:to>
      <xdr:col>15</xdr:col>
      <xdr:colOff>638175</xdr:colOff>
      <xdr:row>15</xdr:row>
      <xdr:rowOff>0</xdr:rowOff>
    </xdr:to>
    <xdr:graphicFrame>
      <xdr:nvGraphicFramePr>
        <xdr:cNvPr id="2" name="Chart 3"/>
        <xdr:cNvGraphicFramePr/>
      </xdr:nvGraphicFramePr>
      <xdr:xfrm>
        <a:off x="6772275" y="200025"/>
        <a:ext cx="33337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14</xdr:row>
      <xdr:rowOff>161925</xdr:rowOff>
    </xdr:from>
    <xdr:to>
      <xdr:col>11</xdr:col>
      <xdr:colOff>352425</xdr:colOff>
      <xdr:row>28</xdr:row>
      <xdr:rowOff>28575</xdr:rowOff>
    </xdr:to>
    <xdr:graphicFrame>
      <xdr:nvGraphicFramePr>
        <xdr:cNvPr id="3" name="Chart 4"/>
        <xdr:cNvGraphicFramePr/>
      </xdr:nvGraphicFramePr>
      <xdr:xfrm>
        <a:off x="3381375" y="2476500"/>
        <a:ext cx="33909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352425</xdr:colOff>
      <xdr:row>15</xdr:row>
      <xdr:rowOff>0</xdr:rowOff>
    </xdr:from>
    <xdr:to>
      <xdr:col>15</xdr:col>
      <xdr:colOff>638175</xdr:colOff>
      <xdr:row>28</xdr:row>
      <xdr:rowOff>28575</xdr:rowOff>
    </xdr:to>
    <xdr:graphicFrame>
      <xdr:nvGraphicFramePr>
        <xdr:cNvPr id="4" name="Chart 5"/>
        <xdr:cNvGraphicFramePr/>
      </xdr:nvGraphicFramePr>
      <xdr:xfrm>
        <a:off x="6772275" y="2476500"/>
        <a:ext cx="333375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15</xdr:row>
      <xdr:rowOff>9525</xdr:rowOff>
    </xdr:from>
    <xdr:to>
      <xdr:col>7</xdr:col>
      <xdr:colOff>9525</xdr:colOff>
      <xdr:row>28</xdr:row>
      <xdr:rowOff>28575</xdr:rowOff>
    </xdr:to>
    <xdr:graphicFrame>
      <xdr:nvGraphicFramePr>
        <xdr:cNvPr id="5" name="Chart 6"/>
        <xdr:cNvGraphicFramePr/>
      </xdr:nvGraphicFramePr>
      <xdr:xfrm>
        <a:off x="28575" y="2486025"/>
        <a:ext cx="33528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0.4365</cdr:x>
      <cdr:y>0.23025</cdr:y>
    </cdr:from>
    <cdr:to>
      <cdr:x>0.68475</cdr:x>
      <cdr:y>0.33325</cdr:y>
    </cdr:to>
    <cdr:sp>
      <cdr:nvSpPr>
        <cdr:cNvPr id="1" name="Texte 1"/>
        <cdr:cNvSpPr txBox="1">
          <a:spLocks noChangeArrowheads="1"/>
        </cdr:cNvSpPr>
      </cdr:nvSpPr>
      <cdr:spPr>
        <a:xfrm>
          <a:off x="2305050" y="419100"/>
          <a:ext cx="1314450" cy="1905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Moyenne: 12,95 l/100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9525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9525" y="5734050"/>
        <a:ext cx="52959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11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3981450"/>
        <a:ext cx="52959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44</xdr:row>
      <xdr:rowOff>85725</xdr:rowOff>
    </xdr:from>
    <xdr:to>
      <xdr:col>11</xdr:col>
      <xdr:colOff>0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7581900"/>
        <a:ext cx="52959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76200</xdr:rowOff>
    </xdr:from>
    <xdr:to>
      <xdr:col>11</xdr:col>
      <xdr:colOff>47625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0" y="9191625"/>
        <a:ext cx="53435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0.19725</cdr:y>
    </cdr:from>
    <cdr:to>
      <cdr:x>0.68425</cdr:x>
      <cdr:y>0.30025</cdr:y>
    </cdr:to>
    <cdr:sp>
      <cdr:nvSpPr>
        <cdr:cNvPr id="1" name="Texte 1"/>
        <cdr:cNvSpPr txBox="1">
          <a:spLocks noChangeArrowheads="1"/>
        </cdr:cNvSpPr>
      </cdr:nvSpPr>
      <cdr:spPr>
        <a:xfrm>
          <a:off x="2152650" y="361950"/>
          <a:ext cx="1323975" cy="1905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Moyenne: 12,27 l/100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9525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9525" y="5743575"/>
        <a:ext cx="5086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11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3990975"/>
        <a:ext cx="50863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44</xdr:row>
      <xdr:rowOff>85725</xdr:rowOff>
    </xdr:from>
    <xdr:to>
      <xdr:col>11</xdr:col>
      <xdr:colOff>0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7591425"/>
        <a:ext cx="508635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76200</xdr:rowOff>
    </xdr:from>
    <xdr:to>
      <xdr:col>11</xdr:col>
      <xdr:colOff>9525</xdr:colOff>
      <xdr:row>66</xdr:row>
      <xdr:rowOff>133350</xdr:rowOff>
    </xdr:to>
    <xdr:graphicFrame>
      <xdr:nvGraphicFramePr>
        <xdr:cNvPr id="4" name="Chart 4"/>
        <xdr:cNvGraphicFramePr/>
      </xdr:nvGraphicFramePr>
      <xdr:xfrm>
        <a:off x="0" y="9201150"/>
        <a:ext cx="509587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0.74075</cdr:x>
      <cdr:y>0.079</cdr:y>
    </cdr:from>
    <cdr:to>
      <cdr:x>0.98725</cdr:x>
      <cdr:y>0.182</cdr:y>
    </cdr:to>
    <cdr:sp>
      <cdr:nvSpPr>
        <cdr:cNvPr id="1" name="Texte 1"/>
        <cdr:cNvSpPr txBox="1">
          <a:spLocks noChangeArrowheads="1"/>
        </cdr:cNvSpPr>
      </cdr:nvSpPr>
      <cdr:spPr>
        <a:xfrm>
          <a:off x="3886200" y="142875"/>
          <a:ext cx="1295400" cy="1905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Moyenne:11,89 l/100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9525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9525" y="5753100"/>
        <a:ext cx="52578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11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0" y="4000500"/>
        <a:ext cx="52578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0</xdr:colOff>
      <xdr:row>44</xdr:row>
      <xdr:rowOff>85725</xdr:rowOff>
    </xdr:from>
    <xdr:to>
      <xdr:col>11</xdr:col>
      <xdr:colOff>0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0" y="7600950"/>
        <a:ext cx="52578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76200</xdr:rowOff>
    </xdr:from>
    <xdr:to>
      <xdr:col>11</xdr:col>
      <xdr:colOff>9525</xdr:colOff>
      <xdr:row>66</xdr:row>
      <xdr:rowOff>133350</xdr:rowOff>
    </xdr:to>
    <xdr:graphicFrame>
      <xdr:nvGraphicFramePr>
        <xdr:cNvPr id="4" name="Chart 5"/>
        <xdr:cNvGraphicFramePr/>
      </xdr:nvGraphicFramePr>
      <xdr:xfrm>
        <a:off x="0" y="9210675"/>
        <a:ext cx="526732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</cdr:x>
      <cdr:y>0.184</cdr:y>
    </cdr:from>
    <cdr:to>
      <cdr:x>0.96875</cdr:x>
      <cdr:y>0.287</cdr:y>
    </cdr:to>
    <cdr:sp>
      <cdr:nvSpPr>
        <cdr:cNvPr id="1" name="Texte 1"/>
        <cdr:cNvSpPr txBox="1">
          <a:spLocks noChangeArrowheads="1"/>
        </cdr:cNvSpPr>
      </cdr:nvSpPr>
      <cdr:spPr>
        <a:xfrm>
          <a:off x="3781425" y="333375"/>
          <a:ext cx="1295400" cy="1905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Moyenne:10,76 l/100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workbookViewId="0" topLeftCell="A1">
      <pane ySplit="630" topLeftCell="BM13" activePane="bottomLeft" state="split"/>
      <selection pane="topLeft" activeCell="A1" sqref="A1"/>
      <selection pane="bottomLeft" activeCell="A2" sqref="A2"/>
    </sheetView>
  </sheetViews>
  <sheetFormatPr defaultColWidth="11.421875" defaultRowHeight="12.75"/>
  <cols>
    <col min="1" max="1" width="11.57421875" style="38" bestFit="1" customWidth="1"/>
    <col min="2" max="2" width="9.140625" style="33" bestFit="1" customWidth="1"/>
    <col min="3" max="3" width="9.57421875" style="33" bestFit="1" customWidth="1"/>
    <col min="4" max="4" width="5.28125" style="33" bestFit="1" customWidth="1"/>
    <col min="5" max="5" width="8.57421875" style="33" bestFit="1" customWidth="1"/>
    <col min="6" max="6" width="7.28125" style="33" bestFit="1" customWidth="1"/>
    <col min="7" max="7" width="5.00390625" style="33" hidden="1" customWidth="1"/>
    <col min="8" max="8" width="9.8515625" style="33" bestFit="1" customWidth="1"/>
    <col min="9" max="9" width="9.28125" style="101" customWidth="1"/>
    <col min="10" max="10" width="6.57421875" style="33" hidden="1" customWidth="1"/>
    <col min="11" max="11" width="9.140625" style="33" bestFit="1" customWidth="1"/>
    <col min="12" max="16384" width="11.421875" style="33" customWidth="1"/>
  </cols>
  <sheetData>
    <row r="1" spans="1:11" ht="26.25" thickBot="1">
      <c r="A1" s="41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97" t="s">
        <v>34</v>
      </c>
      <c r="J1" s="32" t="s">
        <v>6</v>
      </c>
      <c r="K1" s="79" t="s">
        <v>31</v>
      </c>
    </row>
    <row r="2" spans="1:11" ht="12.75">
      <c r="A2" s="45">
        <v>37769</v>
      </c>
      <c r="B2" s="46">
        <v>24318</v>
      </c>
      <c r="C2" s="51">
        <v>0</v>
      </c>
      <c r="D2" s="47">
        <v>1</v>
      </c>
      <c r="E2" s="48">
        <v>0</v>
      </c>
      <c r="F2" s="49">
        <v>0</v>
      </c>
      <c r="G2" s="49">
        <f>F22</f>
        <v>12.59250764525994</v>
      </c>
      <c r="H2" s="48">
        <v>0</v>
      </c>
      <c r="I2" s="98">
        <v>0</v>
      </c>
      <c r="J2" s="34">
        <f>I22</f>
        <v>0.9949001274968127</v>
      </c>
      <c r="K2" s="80" t="s">
        <v>33</v>
      </c>
    </row>
    <row r="3" spans="1:11" ht="12.75">
      <c r="A3" s="50">
        <v>37778</v>
      </c>
      <c r="B3" s="51">
        <v>24752</v>
      </c>
      <c r="C3" s="51">
        <f aca="true" t="shared" si="0" ref="C3:C21">B3-B2</f>
        <v>434</v>
      </c>
      <c r="D3" s="52">
        <f aca="true" t="shared" si="1" ref="D3:D21">D2+1</f>
        <v>2</v>
      </c>
      <c r="E3" s="53">
        <v>50.69</v>
      </c>
      <c r="F3" s="54">
        <f aca="true" t="shared" si="2" ref="F3:F22">E3/C3*100</f>
        <v>11.679723502304148</v>
      </c>
      <c r="G3" s="54">
        <f>F22</f>
        <v>12.59250764525994</v>
      </c>
      <c r="H3" s="53">
        <v>50.18</v>
      </c>
      <c r="I3" s="99">
        <f aca="true" t="shared" si="3" ref="I3:I22">H3/E3</f>
        <v>0.9899388439534426</v>
      </c>
      <c r="J3" s="35">
        <f>I22</f>
        <v>0.9949001274968127</v>
      </c>
      <c r="K3" s="81">
        <v>75</v>
      </c>
    </row>
    <row r="4" spans="1:11" ht="12.75">
      <c r="A4" s="50">
        <v>37778</v>
      </c>
      <c r="B4" s="51">
        <v>25190</v>
      </c>
      <c r="C4" s="51">
        <f t="shared" si="0"/>
        <v>438</v>
      </c>
      <c r="D4" s="52">
        <f t="shared" si="1"/>
        <v>3</v>
      </c>
      <c r="E4" s="53">
        <v>52</v>
      </c>
      <c r="F4" s="54">
        <f t="shared" si="2"/>
        <v>11.87214611872146</v>
      </c>
      <c r="G4" s="54">
        <f>F22</f>
        <v>12.59250764525994</v>
      </c>
      <c r="H4" s="53">
        <v>54.6</v>
      </c>
      <c r="I4" s="99">
        <f t="shared" si="3"/>
        <v>1.05</v>
      </c>
      <c r="J4" s="35">
        <f>I22</f>
        <v>0.9949001274968127</v>
      </c>
      <c r="K4" s="81">
        <v>45</v>
      </c>
    </row>
    <row r="5" spans="1:11" ht="12.75">
      <c r="A5" s="50">
        <v>37781</v>
      </c>
      <c r="B5" s="51">
        <v>25689</v>
      </c>
      <c r="C5" s="51">
        <f t="shared" si="0"/>
        <v>499</v>
      </c>
      <c r="D5" s="52">
        <f t="shared" si="1"/>
        <v>4</v>
      </c>
      <c r="E5" s="53">
        <v>53.2</v>
      </c>
      <c r="F5" s="54">
        <f t="shared" si="2"/>
        <v>10.661322645290582</v>
      </c>
      <c r="G5" s="54">
        <f>F22</f>
        <v>12.59250764525994</v>
      </c>
      <c r="H5" s="53">
        <v>50.01</v>
      </c>
      <c r="I5" s="99">
        <f t="shared" si="3"/>
        <v>0.9400375939849623</v>
      </c>
      <c r="J5" s="35">
        <f>I22</f>
        <v>0.9949001274968127</v>
      </c>
      <c r="K5" s="81">
        <v>66</v>
      </c>
    </row>
    <row r="6" spans="1:11" ht="12.75">
      <c r="A6" s="50">
        <v>37786</v>
      </c>
      <c r="B6" s="51">
        <v>26128</v>
      </c>
      <c r="C6" s="51">
        <f t="shared" si="0"/>
        <v>439</v>
      </c>
      <c r="D6" s="52">
        <f t="shared" si="1"/>
        <v>5</v>
      </c>
      <c r="E6" s="53">
        <v>54</v>
      </c>
      <c r="F6" s="54">
        <f t="shared" si="2"/>
        <v>12.300683371298406</v>
      </c>
      <c r="G6" s="54">
        <f>F22</f>
        <v>12.59250764525994</v>
      </c>
      <c r="H6" s="53">
        <v>55.08</v>
      </c>
      <c r="I6" s="99">
        <f t="shared" si="3"/>
        <v>1.02</v>
      </c>
      <c r="J6" s="35">
        <f>I22</f>
        <v>0.9949001274968127</v>
      </c>
      <c r="K6" s="81">
        <v>52</v>
      </c>
    </row>
    <row r="7" spans="1:11" ht="12.75">
      <c r="A7" s="50">
        <v>37801</v>
      </c>
      <c r="B7" s="51">
        <v>26497</v>
      </c>
      <c r="C7" s="51">
        <f t="shared" si="0"/>
        <v>369</v>
      </c>
      <c r="D7" s="52">
        <f t="shared" si="1"/>
        <v>6</v>
      </c>
      <c r="E7" s="53">
        <v>56</v>
      </c>
      <c r="F7" s="54">
        <f t="shared" si="2"/>
        <v>15.176151761517614</v>
      </c>
      <c r="G7" s="54">
        <f>F22</f>
        <v>12.59250764525994</v>
      </c>
      <c r="H7" s="53">
        <v>54.82</v>
      </c>
      <c r="I7" s="99">
        <f t="shared" si="3"/>
        <v>0.9789285714285715</v>
      </c>
      <c r="J7" s="35">
        <f>I22</f>
        <v>0.9949001274968127</v>
      </c>
      <c r="K7" s="81">
        <v>21</v>
      </c>
    </row>
    <row r="8" spans="1:11" ht="12.75">
      <c r="A8" s="50">
        <v>37807</v>
      </c>
      <c r="B8" s="51">
        <v>26587</v>
      </c>
      <c r="C8" s="51">
        <f t="shared" si="0"/>
        <v>90</v>
      </c>
      <c r="D8" s="52">
        <f t="shared" si="1"/>
        <v>7</v>
      </c>
      <c r="E8" s="53">
        <v>14.5</v>
      </c>
      <c r="F8" s="54">
        <f t="shared" si="2"/>
        <v>16.11111111111111</v>
      </c>
      <c r="G8" s="54">
        <f>F22</f>
        <v>12.59250764525994</v>
      </c>
      <c r="H8" s="53">
        <v>14.94</v>
      </c>
      <c r="I8" s="99">
        <f t="shared" si="3"/>
        <v>1.0303448275862068</v>
      </c>
      <c r="J8" s="35">
        <f>I22</f>
        <v>0.9949001274968127</v>
      </c>
      <c r="K8" s="81">
        <v>20</v>
      </c>
    </row>
    <row r="9" spans="1:11" ht="12.75">
      <c r="A9" s="55">
        <v>37808</v>
      </c>
      <c r="B9" s="51">
        <v>27088</v>
      </c>
      <c r="C9" s="51">
        <f t="shared" si="0"/>
        <v>501</v>
      </c>
      <c r="D9" s="52">
        <f t="shared" si="1"/>
        <v>8</v>
      </c>
      <c r="E9" s="53">
        <v>52.3</v>
      </c>
      <c r="F9" s="54">
        <f t="shared" si="2"/>
        <v>10.439121756487026</v>
      </c>
      <c r="G9" s="54">
        <f>F22</f>
        <v>12.59250764525994</v>
      </c>
      <c r="H9" s="53">
        <v>51</v>
      </c>
      <c r="I9" s="99">
        <f t="shared" si="3"/>
        <v>0.9751434034416826</v>
      </c>
      <c r="J9" s="35">
        <f>I22</f>
        <v>0.9949001274968127</v>
      </c>
      <c r="K9" s="81">
        <v>104</v>
      </c>
    </row>
    <row r="10" spans="1:11" ht="12.75">
      <c r="A10" s="55">
        <v>37818</v>
      </c>
      <c r="B10" s="51">
        <v>27601</v>
      </c>
      <c r="C10" s="51">
        <f t="shared" si="0"/>
        <v>513</v>
      </c>
      <c r="D10" s="52">
        <f t="shared" si="1"/>
        <v>9</v>
      </c>
      <c r="E10" s="53">
        <v>51.2</v>
      </c>
      <c r="F10" s="54">
        <f t="shared" si="2"/>
        <v>9.980506822612087</v>
      </c>
      <c r="G10" s="54">
        <f>F22</f>
        <v>12.59250764525994</v>
      </c>
      <c r="H10" s="53">
        <v>50.95</v>
      </c>
      <c r="I10" s="99">
        <f t="shared" si="3"/>
        <v>0.9951171875</v>
      </c>
      <c r="J10" s="35">
        <f>I22</f>
        <v>0.9949001274968127</v>
      </c>
      <c r="K10" s="81">
        <v>42</v>
      </c>
    </row>
    <row r="11" spans="1:11" ht="12.75">
      <c r="A11" s="55">
        <v>37821</v>
      </c>
      <c r="B11" s="51">
        <v>27734</v>
      </c>
      <c r="C11" s="51">
        <f t="shared" si="0"/>
        <v>133</v>
      </c>
      <c r="D11" s="52">
        <f t="shared" si="1"/>
        <v>10</v>
      </c>
      <c r="E11" s="53">
        <v>14</v>
      </c>
      <c r="F11" s="54">
        <f t="shared" si="2"/>
        <v>10.526315789473683</v>
      </c>
      <c r="G11" s="54">
        <f>F22</f>
        <v>12.59250764525994</v>
      </c>
      <c r="H11" s="53">
        <v>13.93</v>
      </c>
      <c r="I11" s="99">
        <f t="shared" si="3"/>
        <v>0.995</v>
      </c>
      <c r="J11" s="35">
        <f>I22</f>
        <v>0.9949001274968127</v>
      </c>
      <c r="K11" s="81">
        <v>42</v>
      </c>
    </row>
    <row r="12" spans="1:11" ht="12.75">
      <c r="A12" s="55">
        <v>37823</v>
      </c>
      <c r="B12" s="51">
        <v>28193</v>
      </c>
      <c r="C12" s="51">
        <f t="shared" si="0"/>
        <v>459</v>
      </c>
      <c r="D12" s="52">
        <f t="shared" si="1"/>
        <v>11</v>
      </c>
      <c r="E12" s="53">
        <v>55.55</v>
      </c>
      <c r="F12" s="54">
        <f t="shared" si="2"/>
        <v>12.102396514161219</v>
      </c>
      <c r="G12" s="54">
        <f>F22</f>
        <v>12.59250764525994</v>
      </c>
      <c r="H12" s="53">
        <v>57.77</v>
      </c>
      <c r="I12" s="99">
        <f t="shared" si="3"/>
        <v>1.03996399639964</v>
      </c>
      <c r="J12" s="35">
        <f>I22</f>
        <v>0.9949001274968127</v>
      </c>
      <c r="K12" s="81">
        <v>101</v>
      </c>
    </row>
    <row r="13" spans="1:11" ht="12.75">
      <c r="A13" s="55">
        <v>37834</v>
      </c>
      <c r="B13" s="51">
        <v>28351</v>
      </c>
      <c r="C13" s="51">
        <f t="shared" si="0"/>
        <v>158</v>
      </c>
      <c r="D13" s="52">
        <f t="shared" si="1"/>
        <v>12</v>
      </c>
      <c r="E13" s="53">
        <v>28</v>
      </c>
      <c r="F13" s="54">
        <f t="shared" si="2"/>
        <v>17.72151898734177</v>
      </c>
      <c r="G13" s="54">
        <f>F22</f>
        <v>12.59250764525994</v>
      </c>
      <c r="H13" s="53">
        <v>29.12</v>
      </c>
      <c r="I13" s="99">
        <f t="shared" si="3"/>
        <v>1.04</v>
      </c>
      <c r="J13" s="35">
        <f>I22</f>
        <v>0.9949001274968127</v>
      </c>
      <c r="K13" s="81">
        <v>17</v>
      </c>
    </row>
    <row r="14" spans="1:11" ht="12.75">
      <c r="A14" s="55">
        <v>37835</v>
      </c>
      <c r="B14" s="51">
        <v>28791</v>
      </c>
      <c r="C14" s="51">
        <f t="shared" si="0"/>
        <v>440</v>
      </c>
      <c r="D14" s="52">
        <f t="shared" si="1"/>
        <v>13</v>
      </c>
      <c r="E14" s="53">
        <v>50</v>
      </c>
      <c r="F14" s="54">
        <f t="shared" si="2"/>
        <v>11.363636363636363</v>
      </c>
      <c r="G14" s="54">
        <f>F22</f>
        <v>12.59250764525994</v>
      </c>
      <c r="H14" s="53">
        <v>50.1</v>
      </c>
      <c r="I14" s="99">
        <f t="shared" si="3"/>
        <v>1.002</v>
      </c>
      <c r="J14" s="35">
        <f>I22</f>
        <v>0.9949001274968127</v>
      </c>
      <c r="K14" s="81">
        <v>80</v>
      </c>
    </row>
    <row r="15" spans="1:11" ht="12.75">
      <c r="A15" s="55">
        <v>37842</v>
      </c>
      <c r="B15" s="51">
        <v>28937</v>
      </c>
      <c r="C15" s="51">
        <f t="shared" si="0"/>
        <v>146</v>
      </c>
      <c r="D15" s="52">
        <f t="shared" si="1"/>
        <v>14</v>
      </c>
      <c r="E15" s="53">
        <v>18</v>
      </c>
      <c r="F15" s="54">
        <f t="shared" si="2"/>
        <v>12.32876712328767</v>
      </c>
      <c r="G15" s="54">
        <f>F22</f>
        <v>12.59250764525994</v>
      </c>
      <c r="H15" s="53">
        <v>17.96</v>
      </c>
      <c r="I15" s="99">
        <f t="shared" si="3"/>
        <v>0.9977777777777779</v>
      </c>
      <c r="J15" s="35">
        <f>I22</f>
        <v>0.9949001274968127</v>
      </c>
      <c r="K15" s="81">
        <v>31</v>
      </c>
    </row>
    <row r="16" spans="1:11" ht="12.75">
      <c r="A16" s="55">
        <v>37845</v>
      </c>
      <c r="B16" s="51">
        <v>29118</v>
      </c>
      <c r="C16" s="51">
        <f t="shared" si="0"/>
        <v>181</v>
      </c>
      <c r="D16" s="52">
        <f t="shared" si="1"/>
        <v>15</v>
      </c>
      <c r="E16" s="53">
        <v>21</v>
      </c>
      <c r="F16" s="54">
        <f t="shared" si="2"/>
        <v>11.602209944751381</v>
      </c>
      <c r="G16" s="54">
        <f>F22</f>
        <v>12.59250764525994</v>
      </c>
      <c r="H16" s="53">
        <v>20.94</v>
      </c>
      <c r="I16" s="99">
        <f t="shared" si="3"/>
        <v>0.9971428571428572</v>
      </c>
      <c r="J16" s="35">
        <f>I22</f>
        <v>0.9949001274968127</v>
      </c>
      <c r="K16" s="81">
        <v>41</v>
      </c>
    </row>
    <row r="17" spans="1:11" ht="12.75">
      <c r="A17" s="55">
        <v>37845</v>
      </c>
      <c r="B17" s="51">
        <v>29570</v>
      </c>
      <c r="C17" s="51">
        <f t="shared" si="0"/>
        <v>452</v>
      </c>
      <c r="D17" s="52">
        <f t="shared" si="1"/>
        <v>16</v>
      </c>
      <c r="E17" s="53">
        <v>55.11</v>
      </c>
      <c r="F17" s="54">
        <f t="shared" si="2"/>
        <v>12.192477876106194</v>
      </c>
      <c r="G17" s="54">
        <f>F22</f>
        <v>12.59250764525994</v>
      </c>
      <c r="H17" s="53">
        <v>55</v>
      </c>
      <c r="I17" s="99">
        <f t="shared" si="3"/>
        <v>0.9980039920159681</v>
      </c>
      <c r="J17" s="35">
        <f>I22</f>
        <v>0.9949001274968127</v>
      </c>
      <c r="K17" s="81">
        <v>133</v>
      </c>
    </row>
    <row r="18" spans="1:11" ht="12.75">
      <c r="A18" s="50">
        <v>37864</v>
      </c>
      <c r="B18" s="51">
        <v>29897</v>
      </c>
      <c r="C18" s="51">
        <f t="shared" si="0"/>
        <v>327</v>
      </c>
      <c r="D18" s="52">
        <f t="shared" si="1"/>
        <v>17</v>
      </c>
      <c r="E18" s="53">
        <v>50</v>
      </c>
      <c r="F18" s="54">
        <f t="shared" si="2"/>
        <v>15.29051987767584</v>
      </c>
      <c r="G18" s="54">
        <f>F22</f>
        <v>12.59250764525994</v>
      </c>
      <c r="H18" s="54">
        <v>48.8</v>
      </c>
      <c r="I18" s="99">
        <f t="shared" si="3"/>
        <v>0.976</v>
      </c>
      <c r="J18" s="35">
        <f>I22</f>
        <v>0.9949001274968127</v>
      </c>
      <c r="K18" s="81">
        <v>22</v>
      </c>
    </row>
    <row r="19" spans="1:11" ht="12.75">
      <c r="A19" s="55">
        <v>37867</v>
      </c>
      <c r="B19" s="51">
        <v>30188</v>
      </c>
      <c r="C19" s="51">
        <f t="shared" si="0"/>
        <v>291</v>
      </c>
      <c r="D19" s="52">
        <f t="shared" si="1"/>
        <v>18</v>
      </c>
      <c r="E19" s="53">
        <v>55</v>
      </c>
      <c r="F19" s="54">
        <f t="shared" si="2"/>
        <v>18.900343642611684</v>
      </c>
      <c r="G19" s="54">
        <f>F22</f>
        <v>12.59250764525994</v>
      </c>
      <c r="H19" s="53">
        <v>53.08</v>
      </c>
      <c r="I19" s="99">
        <f t="shared" si="3"/>
        <v>0.9650909090909091</v>
      </c>
      <c r="J19" s="35">
        <f>I22</f>
        <v>0.9949001274968127</v>
      </c>
      <c r="K19" s="103">
        <v>14</v>
      </c>
    </row>
    <row r="20" spans="1:11" ht="12.75">
      <c r="A20" s="55">
        <v>37905</v>
      </c>
      <c r="B20" s="51">
        <v>30521</v>
      </c>
      <c r="C20" s="51">
        <f t="shared" si="0"/>
        <v>333</v>
      </c>
      <c r="D20" s="52">
        <f t="shared" si="1"/>
        <v>19</v>
      </c>
      <c r="E20" s="53">
        <v>43</v>
      </c>
      <c r="F20" s="54">
        <f t="shared" si="2"/>
        <v>12.912912912912914</v>
      </c>
      <c r="G20" s="54">
        <f>F22</f>
        <v>12.59250764525994</v>
      </c>
      <c r="H20" s="53">
        <v>42.57</v>
      </c>
      <c r="I20" s="99">
        <f t="shared" si="3"/>
        <v>0.99</v>
      </c>
      <c r="J20" s="35">
        <f>I22</f>
        <v>0.9949001274968127</v>
      </c>
      <c r="K20" s="81">
        <v>36</v>
      </c>
    </row>
    <row r="21" spans="1:11" ht="13.5" thickBot="1">
      <c r="A21" s="56">
        <v>37919</v>
      </c>
      <c r="B21" s="57">
        <v>30858</v>
      </c>
      <c r="C21" s="57">
        <f t="shared" si="0"/>
        <v>337</v>
      </c>
      <c r="D21" s="58">
        <f t="shared" si="1"/>
        <v>20</v>
      </c>
      <c r="E21" s="59">
        <v>50</v>
      </c>
      <c r="F21" s="60">
        <f t="shared" si="2"/>
        <v>14.836795252225517</v>
      </c>
      <c r="G21" s="60">
        <f>F22</f>
        <v>12.59250764525994</v>
      </c>
      <c r="H21" s="59">
        <v>48.5</v>
      </c>
      <c r="I21" s="100">
        <f t="shared" si="3"/>
        <v>0.97</v>
      </c>
      <c r="J21" s="36">
        <f>I22</f>
        <v>0.9949001274968127</v>
      </c>
      <c r="K21" s="82">
        <v>28</v>
      </c>
    </row>
    <row r="22" spans="1:11" ht="13.5" thickBot="1">
      <c r="A22" s="31" t="s">
        <v>8</v>
      </c>
      <c r="B22" s="61">
        <f>B21-B2+24318</f>
        <v>30858</v>
      </c>
      <c r="C22" s="107">
        <f>SUM(C2:C21)</f>
        <v>6540</v>
      </c>
      <c r="D22" s="62"/>
      <c r="E22" s="106">
        <f>SUM(E2:E21)</f>
        <v>823.5500000000001</v>
      </c>
      <c r="F22" s="106">
        <f t="shared" si="2"/>
        <v>12.59250764525994</v>
      </c>
      <c r="G22" s="64"/>
      <c r="H22" s="105">
        <f>SUM(H2:H21)</f>
        <v>819.3500000000001</v>
      </c>
      <c r="I22" s="105">
        <f t="shared" si="3"/>
        <v>0.9949001274968127</v>
      </c>
      <c r="J22" s="37"/>
      <c r="K22" s="104">
        <f>AVERAGE(K2:K21)</f>
        <v>51.05263157894737</v>
      </c>
    </row>
    <row r="23" spans="2:10" ht="12.75">
      <c r="B23" s="39" t="s">
        <v>35</v>
      </c>
      <c r="C23" s="39"/>
      <c r="D23" s="40"/>
      <c r="E23" s="39"/>
      <c r="F23" s="39"/>
      <c r="G23" s="39"/>
      <c r="H23" s="39"/>
      <c r="J23" s="39"/>
    </row>
    <row r="24" spans="2:10" ht="12.75">
      <c r="B24" s="39"/>
      <c r="C24" s="39"/>
      <c r="D24" s="40"/>
      <c r="E24" s="39"/>
      <c r="F24" s="39"/>
      <c r="G24" s="39"/>
      <c r="H24" s="39"/>
      <c r="J24" s="39"/>
    </row>
    <row r="25" spans="2:10" ht="12.75">
      <c r="B25" s="39"/>
      <c r="C25" s="39"/>
      <c r="D25" s="40"/>
      <c r="E25" s="39"/>
      <c r="F25" s="39"/>
      <c r="G25" s="39"/>
      <c r="H25" s="39"/>
      <c r="J25" s="39"/>
    </row>
    <row r="26" spans="2:10" ht="12.75">
      <c r="B26" s="39"/>
      <c r="C26" s="39"/>
      <c r="D26" s="40"/>
      <c r="E26" s="39"/>
      <c r="F26" s="39"/>
      <c r="G26" s="39"/>
      <c r="H26" s="39"/>
      <c r="J26" s="39"/>
    </row>
    <row r="27" spans="2:10" ht="12.75">
      <c r="B27" s="39"/>
      <c r="C27" s="39"/>
      <c r="D27" s="40"/>
      <c r="E27" s="39"/>
      <c r="F27" s="39"/>
      <c r="G27" s="39"/>
      <c r="H27" s="39"/>
      <c r="J27" s="39"/>
    </row>
    <row r="28" spans="2:10" ht="12.75">
      <c r="B28" s="39"/>
      <c r="C28" s="39"/>
      <c r="D28" s="40"/>
      <c r="E28" s="39"/>
      <c r="F28" s="39"/>
      <c r="G28" s="39"/>
      <c r="H28" s="39"/>
      <c r="J28" s="39"/>
    </row>
    <row r="29" spans="2:10" ht="12.75">
      <c r="B29" s="39"/>
      <c r="C29" s="39"/>
      <c r="D29" s="40"/>
      <c r="E29" s="39"/>
      <c r="F29" s="39"/>
      <c r="G29" s="39"/>
      <c r="H29" s="39"/>
      <c r="J29" s="39"/>
    </row>
    <row r="30" spans="2:10" ht="12.75">
      <c r="B30" s="39"/>
      <c r="C30" s="39"/>
      <c r="D30" s="40"/>
      <c r="E30" s="39"/>
      <c r="F30" s="39"/>
      <c r="G30" s="39"/>
      <c r="H30" s="39"/>
      <c r="J30" s="39"/>
    </row>
    <row r="31" spans="2:10" ht="12.75">
      <c r="B31" s="39"/>
      <c r="C31" s="39"/>
      <c r="D31" s="40"/>
      <c r="E31" s="39"/>
      <c r="F31" s="39"/>
      <c r="G31" s="39"/>
      <c r="H31" s="39"/>
      <c r="J31" s="39"/>
    </row>
    <row r="32" spans="2:10" ht="12.75">
      <c r="B32" s="39"/>
      <c r="C32" s="39"/>
      <c r="D32" s="40"/>
      <c r="E32" s="39"/>
      <c r="F32" s="39"/>
      <c r="G32" s="39"/>
      <c r="H32" s="39"/>
      <c r="J32" s="39"/>
    </row>
    <row r="33" spans="2:10" ht="12.75">
      <c r="B33" s="39"/>
      <c r="C33" s="39"/>
      <c r="D33" s="40"/>
      <c r="E33" s="39"/>
      <c r="F33" s="39"/>
      <c r="G33" s="39"/>
      <c r="H33" s="39"/>
      <c r="J33" s="39"/>
    </row>
    <row r="34" spans="2:10" ht="12.75">
      <c r="B34" s="39"/>
      <c r="C34" s="39"/>
      <c r="D34" s="40"/>
      <c r="E34" s="39"/>
      <c r="F34" s="39"/>
      <c r="G34" s="39"/>
      <c r="H34" s="39"/>
      <c r="J34" s="39"/>
    </row>
    <row r="35" spans="2:10" ht="12.75">
      <c r="B35" s="39"/>
      <c r="C35" s="39"/>
      <c r="D35" s="40"/>
      <c r="E35" s="39"/>
      <c r="F35" s="39"/>
      <c r="G35" s="39"/>
      <c r="H35" s="39"/>
      <c r="J35" s="39"/>
    </row>
    <row r="36" spans="2:10" ht="12.75">
      <c r="B36" s="39"/>
      <c r="C36" s="39"/>
      <c r="D36" s="40"/>
      <c r="E36" s="39"/>
      <c r="F36" s="39"/>
      <c r="G36" s="39"/>
      <c r="H36" s="39"/>
      <c r="J36" s="39"/>
    </row>
    <row r="37" spans="2:10" ht="12.75">
      <c r="B37" s="39"/>
      <c r="C37" s="39"/>
      <c r="D37" s="40"/>
      <c r="E37" s="39"/>
      <c r="F37" s="39"/>
      <c r="G37" s="39"/>
      <c r="H37" s="39"/>
      <c r="J37" s="39"/>
    </row>
    <row r="38" spans="2:10" ht="12.75">
      <c r="B38" s="39"/>
      <c r="C38" s="39"/>
      <c r="D38" s="40"/>
      <c r="E38" s="39"/>
      <c r="F38" s="39"/>
      <c r="G38" s="39"/>
      <c r="H38" s="39"/>
      <c r="J38" s="39"/>
    </row>
    <row r="39" spans="2:10" ht="12.75">
      <c r="B39" s="39"/>
      <c r="C39" s="39"/>
      <c r="D39" s="40"/>
      <c r="E39" s="39"/>
      <c r="F39" s="39"/>
      <c r="G39" s="39"/>
      <c r="H39" s="39"/>
      <c r="J39" s="39"/>
    </row>
    <row r="40" spans="2:10" ht="12.75">
      <c r="B40" s="39"/>
      <c r="C40" s="39"/>
      <c r="D40" s="40"/>
      <c r="E40" s="39"/>
      <c r="F40" s="39"/>
      <c r="G40" s="39"/>
      <c r="H40" s="39"/>
      <c r="J40" s="39"/>
    </row>
    <row r="41" spans="2:10" ht="12.75">
      <c r="B41" s="39"/>
      <c r="C41" s="39"/>
      <c r="D41" s="40"/>
      <c r="E41" s="39"/>
      <c r="F41" s="39"/>
      <c r="G41" s="39"/>
      <c r="H41" s="39"/>
      <c r="J41" s="39"/>
    </row>
    <row r="42" spans="2:10" ht="12.75">
      <c r="B42" s="39"/>
      <c r="C42" s="39"/>
      <c r="D42" s="40"/>
      <c r="E42" s="39"/>
      <c r="F42" s="39"/>
      <c r="G42" s="39"/>
      <c r="H42" s="39"/>
      <c r="J42" s="39"/>
    </row>
    <row r="43" spans="2:10" ht="12.75">
      <c r="B43" s="39"/>
      <c r="C43" s="39"/>
      <c r="D43" s="40"/>
      <c r="E43" s="39"/>
      <c r="F43" s="39"/>
      <c r="G43" s="39"/>
      <c r="H43" s="39"/>
      <c r="J43" s="39"/>
    </row>
    <row r="44" spans="2:10" ht="12.75">
      <c r="B44" s="39"/>
      <c r="C44" s="39"/>
      <c r="D44" s="40"/>
      <c r="E44" s="39"/>
      <c r="F44" s="39"/>
      <c r="G44" s="39"/>
      <c r="H44" s="39"/>
      <c r="J44" s="39"/>
    </row>
    <row r="45" spans="2:10" ht="12.75">
      <c r="B45" s="39"/>
      <c r="C45" s="39"/>
      <c r="D45" s="40"/>
      <c r="E45" s="39"/>
      <c r="F45" s="39"/>
      <c r="G45" s="39"/>
      <c r="H45" s="39"/>
      <c r="J45" s="39"/>
    </row>
    <row r="46" spans="2:10" ht="12.75">
      <c r="B46" s="39"/>
      <c r="C46" s="39"/>
      <c r="D46" s="40"/>
      <c r="E46" s="39"/>
      <c r="F46" s="39"/>
      <c r="G46" s="39"/>
      <c r="H46" s="39"/>
      <c r="J46" s="39"/>
    </row>
    <row r="47" spans="2:10" ht="12.75">
      <c r="B47" s="39"/>
      <c r="C47" s="39"/>
      <c r="D47" s="40"/>
      <c r="E47" s="39"/>
      <c r="F47" s="39"/>
      <c r="G47" s="39"/>
      <c r="H47" s="39"/>
      <c r="J47" s="39"/>
    </row>
    <row r="48" spans="2:10" ht="12.75">
      <c r="B48" s="39"/>
      <c r="C48" s="39"/>
      <c r="D48" s="40"/>
      <c r="E48" s="39"/>
      <c r="F48" s="39"/>
      <c r="G48" s="39"/>
      <c r="H48" s="39"/>
      <c r="J48" s="39"/>
    </row>
    <row r="49" spans="2:10" ht="12.75">
      <c r="B49" s="39"/>
      <c r="C49" s="39"/>
      <c r="D49" s="40"/>
      <c r="E49" s="39"/>
      <c r="F49" s="39"/>
      <c r="G49" s="39"/>
      <c r="H49" s="39"/>
      <c r="J49" s="39"/>
    </row>
    <row r="50" spans="2:10" ht="12.75">
      <c r="B50" s="39"/>
      <c r="C50" s="39"/>
      <c r="D50" s="40"/>
      <c r="E50" s="39"/>
      <c r="F50" s="39"/>
      <c r="G50" s="39"/>
      <c r="H50" s="39"/>
      <c r="J50" s="39"/>
    </row>
    <row r="51" spans="2:10" ht="12.75">
      <c r="B51" s="39"/>
      <c r="C51" s="39"/>
      <c r="D51" s="40"/>
      <c r="E51" s="39"/>
      <c r="F51" s="39"/>
      <c r="G51" s="39"/>
      <c r="H51" s="39"/>
      <c r="J51" s="39"/>
    </row>
    <row r="52" spans="2:10" ht="12.75">
      <c r="B52" s="39"/>
      <c r="C52" s="39"/>
      <c r="D52" s="40"/>
      <c r="E52" s="39"/>
      <c r="F52" s="39"/>
      <c r="G52" s="39"/>
      <c r="H52" s="39"/>
      <c r="J52" s="39"/>
    </row>
    <row r="53" spans="2:10" ht="12.75">
      <c r="B53" s="39"/>
      <c r="C53" s="39"/>
      <c r="D53" s="40"/>
      <c r="E53" s="39"/>
      <c r="F53" s="39"/>
      <c r="G53" s="39"/>
      <c r="H53" s="39"/>
      <c r="J53" s="39"/>
    </row>
    <row r="54" spans="2:10" ht="12.75">
      <c r="B54" s="39"/>
      <c r="C54" s="39"/>
      <c r="D54" s="40"/>
      <c r="E54" s="39"/>
      <c r="F54" s="39"/>
      <c r="G54" s="39"/>
      <c r="H54" s="39"/>
      <c r="J54" s="39"/>
    </row>
    <row r="55" spans="2:10" ht="12.75">
      <c r="B55" s="39"/>
      <c r="C55" s="39"/>
      <c r="D55" s="40"/>
      <c r="E55" s="39"/>
      <c r="F55" s="39"/>
      <c r="G55" s="39"/>
      <c r="H55" s="39"/>
      <c r="J55" s="3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4" width="11.28125" style="0" customWidth="1"/>
  </cols>
  <sheetData>
    <row r="1" spans="1:14" s="26" customFormat="1" ht="13.5" thickBot="1">
      <c r="A1" s="27">
        <v>2007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9</v>
      </c>
      <c r="G1" s="28" t="s">
        <v>17</v>
      </c>
      <c r="H1" s="28" t="s">
        <v>18</v>
      </c>
      <c r="I1" s="28" t="s">
        <v>19</v>
      </c>
      <c r="J1" s="28" t="s">
        <v>20</v>
      </c>
      <c r="K1" s="28" t="s">
        <v>21</v>
      </c>
      <c r="L1" s="28" t="s">
        <v>22</v>
      </c>
      <c r="M1" s="28" t="s">
        <v>23</v>
      </c>
      <c r="N1" s="29" t="s">
        <v>10</v>
      </c>
    </row>
    <row r="2" spans="1:14" ht="12.75">
      <c r="A2" s="12" t="s">
        <v>24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3">
        <v>0</v>
      </c>
      <c r="I2" s="2">
        <v>0</v>
      </c>
      <c r="J2" s="4">
        <v>0</v>
      </c>
      <c r="K2" s="2">
        <v>0</v>
      </c>
      <c r="L2" s="2">
        <v>0</v>
      </c>
      <c r="M2" s="2">
        <v>0</v>
      </c>
      <c r="N2" s="5">
        <f>SUM(B2:M2)</f>
        <v>0</v>
      </c>
    </row>
    <row r="3" spans="1:14" ht="12.75">
      <c r="A3" s="12" t="s">
        <v>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</v>
      </c>
      <c r="K3" s="2">
        <v>0</v>
      </c>
      <c r="L3" s="2">
        <v>0</v>
      </c>
      <c r="M3" s="2">
        <v>0</v>
      </c>
      <c r="N3" s="5">
        <f>SUM(B3:M3)</f>
        <v>0</v>
      </c>
    </row>
    <row r="4" spans="1:14" ht="12.75">
      <c r="A4" s="12" t="s">
        <v>25</v>
      </c>
      <c r="B4" s="6" t="e">
        <f aca="true" t="shared" si="0" ref="B4:N4">B3/B2*100</f>
        <v>#DIV/0!</v>
      </c>
      <c r="C4" s="6" t="e">
        <f t="shared" si="0"/>
        <v>#DIV/0!</v>
      </c>
      <c r="D4" s="6" t="e">
        <f t="shared" si="0"/>
        <v>#DIV/0!</v>
      </c>
      <c r="E4" s="6" t="e">
        <f t="shared" si="0"/>
        <v>#DIV/0!</v>
      </c>
      <c r="F4" s="6" t="e">
        <f t="shared" si="0"/>
        <v>#DIV/0!</v>
      </c>
      <c r="G4" s="6" t="e">
        <f t="shared" si="0"/>
        <v>#DIV/0!</v>
      </c>
      <c r="H4" s="6" t="e">
        <f t="shared" si="0"/>
        <v>#DIV/0!</v>
      </c>
      <c r="I4" s="6" t="e">
        <f t="shared" si="0"/>
        <v>#DIV/0!</v>
      </c>
      <c r="J4" s="6" t="e">
        <f t="shared" si="0"/>
        <v>#DIV/0!</v>
      </c>
      <c r="K4" s="6" t="e">
        <f t="shared" si="0"/>
        <v>#DIV/0!</v>
      </c>
      <c r="L4" s="6" t="e">
        <f t="shared" si="0"/>
        <v>#DIV/0!</v>
      </c>
      <c r="M4" s="6" t="e">
        <f t="shared" si="0"/>
        <v>#DIV/0!</v>
      </c>
      <c r="N4" s="7" t="e">
        <f t="shared" si="0"/>
        <v>#DIV/0!</v>
      </c>
    </row>
    <row r="5" spans="1:14" ht="12.75" hidden="1">
      <c r="A5" s="12" t="s">
        <v>11</v>
      </c>
      <c r="B5" s="6" t="e">
        <f aca="true" t="shared" si="1" ref="B5:M5">C5</f>
        <v>#DIV/0!</v>
      </c>
      <c r="C5" s="6" t="e">
        <f t="shared" si="1"/>
        <v>#DIV/0!</v>
      </c>
      <c r="D5" s="6" t="e">
        <f t="shared" si="1"/>
        <v>#DIV/0!</v>
      </c>
      <c r="E5" s="6" t="e">
        <f t="shared" si="1"/>
        <v>#DIV/0!</v>
      </c>
      <c r="F5" s="6" t="e">
        <f t="shared" si="1"/>
        <v>#DIV/0!</v>
      </c>
      <c r="G5" s="6" t="e">
        <f t="shared" si="1"/>
        <v>#DIV/0!</v>
      </c>
      <c r="H5" s="6" t="e">
        <f t="shared" si="1"/>
        <v>#DIV/0!</v>
      </c>
      <c r="I5" s="6" t="e">
        <f t="shared" si="1"/>
        <v>#DIV/0!</v>
      </c>
      <c r="J5" s="6" t="e">
        <f t="shared" si="1"/>
        <v>#DIV/0!</v>
      </c>
      <c r="K5" s="6" t="e">
        <f t="shared" si="1"/>
        <v>#DIV/0!</v>
      </c>
      <c r="L5" s="6" t="e">
        <f t="shared" si="1"/>
        <v>#DIV/0!</v>
      </c>
      <c r="M5" s="6" t="e">
        <f t="shared" si="1"/>
        <v>#DIV/0!</v>
      </c>
      <c r="N5" s="7" t="e">
        <f>N4</f>
        <v>#DIV/0!</v>
      </c>
    </row>
    <row r="6" spans="1:14" ht="12.75">
      <c r="A6" s="12" t="s">
        <v>12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2">
        <f>SUM(B6:M6)</f>
        <v>0</v>
      </c>
    </row>
    <row r="7" spans="1:14" ht="13.5" thickBot="1">
      <c r="A7" s="13" t="s">
        <v>26</v>
      </c>
      <c r="B7" s="73" t="e">
        <f aca="true" t="shared" si="2" ref="B7:N7">B6/B3</f>
        <v>#DIV/0!</v>
      </c>
      <c r="C7" s="73" t="e">
        <f t="shared" si="2"/>
        <v>#DIV/0!</v>
      </c>
      <c r="D7" s="73" t="e">
        <f t="shared" si="2"/>
        <v>#DIV/0!</v>
      </c>
      <c r="E7" s="73" t="e">
        <f t="shared" si="2"/>
        <v>#DIV/0!</v>
      </c>
      <c r="F7" s="73" t="e">
        <f t="shared" si="2"/>
        <v>#DIV/0!</v>
      </c>
      <c r="G7" s="73" t="e">
        <f t="shared" si="2"/>
        <v>#DIV/0!</v>
      </c>
      <c r="H7" s="73" t="e">
        <f t="shared" si="2"/>
        <v>#DIV/0!</v>
      </c>
      <c r="I7" s="73" t="e">
        <f t="shared" si="2"/>
        <v>#DIV/0!</v>
      </c>
      <c r="J7" s="73" t="e">
        <f t="shared" si="2"/>
        <v>#DIV/0!</v>
      </c>
      <c r="K7" s="73" t="e">
        <f t="shared" si="2"/>
        <v>#DIV/0!</v>
      </c>
      <c r="L7" s="73" t="e">
        <f t="shared" si="2"/>
        <v>#DIV/0!</v>
      </c>
      <c r="M7" s="73" t="e">
        <f t="shared" si="2"/>
        <v>#DIV/0!</v>
      </c>
      <c r="N7" s="74" t="e">
        <f t="shared" si="2"/>
        <v>#DIV/0!</v>
      </c>
    </row>
    <row r="8" spans="1:14" ht="0.75" customHeight="1">
      <c r="A8" s="9" t="s">
        <v>11</v>
      </c>
      <c r="B8" s="10" t="e">
        <f>N7</f>
        <v>#DIV/0!</v>
      </c>
      <c r="C8" s="10" t="e">
        <f>N7</f>
        <v>#DIV/0!</v>
      </c>
      <c r="D8" s="10" t="e">
        <f>N7</f>
        <v>#DIV/0!</v>
      </c>
      <c r="E8" s="10" t="e">
        <f>N7</f>
        <v>#DIV/0!</v>
      </c>
      <c r="F8" s="10" t="e">
        <f>N7</f>
        <v>#DIV/0!</v>
      </c>
      <c r="G8" s="10" t="e">
        <f>N7</f>
        <v>#DIV/0!</v>
      </c>
      <c r="H8" s="10" t="e">
        <f>N7</f>
        <v>#DIV/0!</v>
      </c>
      <c r="I8" s="10" t="e">
        <f>N7</f>
        <v>#DIV/0!</v>
      </c>
      <c r="J8" s="10" t="e">
        <f>N7</f>
        <v>#DIV/0!</v>
      </c>
      <c r="K8" s="10" t="e">
        <f>N7</f>
        <v>#DIV/0!</v>
      </c>
      <c r="L8" s="10" t="e">
        <f>N7</f>
        <v>#DIV/0!</v>
      </c>
      <c r="M8" s="10" t="e">
        <f>N7</f>
        <v>#DIV/0!</v>
      </c>
      <c r="N8" s="10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4" width="11.28125" style="0" customWidth="1"/>
  </cols>
  <sheetData>
    <row r="1" spans="1:14" s="26" customFormat="1" ht="13.5" thickBot="1">
      <c r="A1" s="27">
        <v>2008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9</v>
      </c>
      <c r="G1" s="28" t="s">
        <v>17</v>
      </c>
      <c r="H1" s="28" t="s">
        <v>18</v>
      </c>
      <c r="I1" s="28" t="s">
        <v>19</v>
      </c>
      <c r="J1" s="28" t="s">
        <v>20</v>
      </c>
      <c r="K1" s="28" t="s">
        <v>21</v>
      </c>
      <c r="L1" s="28" t="s">
        <v>22</v>
      </c>
      <c r="M1" s="28" t="s">
        <v>23</v>
      </c>
      <c r="N1" s="29" t="s">
        <v>10</v>
      </c>
    </row>
    <row r="2" spans="1:14" ht="12.75">
      <c r="A2" s="12" t="s">
        <v>24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3">
        <v>0</v>
      </c>
      <c r="I2" s="2">
        <v>0</v>
      </c>
      <c r="J2" s="4">
        <v>0</v>
      </c>
      <c r="K2" s="2">
        <v>0</v>
      </c>
      <c r="L2" s="2">
        <v>0</v>
      </c>
      <c r="M2" s="2">
        <v>0</v>
      </c>
      <c r="N2" s="5">
        <f>SUM(B2:M2)</f>
        <v>0</v>
      </c>
    </row>
    <row r="3" spans="1:14" ht="12.75">
      <c r="A3" s="12" t="s">
        <v>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</v>
      </c>
      <c r="K3" s="2">
        <v>0</v>
      </c>
      <c r="L3" s="2">
        <v>0</v>
      </c>
      <c r="M3" s="2">
        <v>0</v>
      </c>
      <c r="N3" s="5">
        <f>SUM(B3:M3)</f>
        <v>0</v>
      </c>
    </row>
    <row r="4" spans="1:14" ht="12.75">
      <c r="A4" s="12" t="s">
        <v>25</v>
      </c>
      <c r="B4" s="6" t="e">
        <f aca="true" t="shared" si="0" ref="B4:N4">B3/B2*100</f>
        <v>#DIV/0!</v>
      </c>
      <c r="C4" s="6" t="e">
        <f t="shared" si="0"/>
        <v>#DIV/0!</v>
      </c>
      <c r="D4" s="6" t="e">
        <f t="shared" si="0"/>
        <v>#DIV/0!</v>
      </c>
      <c r="E4" s="6" t="e">
        <f t="shared" si="0"/>
        <v>#DIV/0!</v>
      </c>
      <c r="F4" s="6" t="e">
        <f t="shared" si="0"/>
        <v>#DIV/0!</v>
      </c>
      <c r="G4" s="6" t="e">
        <f t="shared" si="0"/>
        <v>#DIV/0!</v>
      </c>
      <c r="H4" s="6" t="e">
        <f t="shared" si="0"/>
        <v>#DIV/0!</v>
      </c>
      <c r="I4" s="6" t="e">
        <f t="shared" si="0"/>
        <v>#DIV/0!</v>
      </c>
      <c r="J4" s="6" t="e">
        <f t="shared" si="0"/>
        <v>#DIV/0!</v>
      </c>
      <c r="K4" s="6" t="e">
        <f t="shared" si="0"/>
        <v>#DIV/0!</v>
      </c>
      <c r="L4" s="6" t="e">
        <f t="shared" si="0"/>
        <v>#DIV/0!</v>
      </c>
      <c r="M4" s="6" t="e">
        <f t="shared" si="0"/>
        <v>#DIV/0!</v>
      </c>
      <c r="N4" s="7" t="e">
        <f t="shared" si="0"/>
        <v>#DIV/0!</v>
      </c>
    </row>
    <row r="5" spans="1:14" ht="12.75" hidden="1">
      <c r="A5" s="12" t="s">
        <v>11</v>
      </c>
      <c r="B5" s="6" t="e">
        <f aca="true" t="shared" si="1" ref="B5:M5">C5</f>
        <v>#DIV/0!</v>
      </c>
      <c r="C5" s="6" t="e">
        <f t="shared" si="1"/>
        <v>#DIV/0!</v>
      </c>
      <c r="D5" s="6" t="e">
        <f t="shared" si="1"/>
        <v>#DIV/0!</v>
      </c>
      <c r="E5" s="6" t="e">
        <f t="shared" si="1"/>
        <v>#DIV/0!</v>
      </c>
      <c r="F5" s="6" t="e">
        <f t="shared" si="1"/>
        <v>#DIV/0!</v>
      </c>
      <c r="G5" s="6" t="e">
        <f t="shared" si="1"/>
        <v>#DIV/0!</v>
      </c>
      <c r="H5" s="6" t="e">
        <f t="shared" si="1"/>
        <v>#DIV/0!</v>
      </c>
      <c r="I5" s="6" t="e">
        <f t="shared" si="1"/>
        <v>#DIV/0!</v>
      </c>
      <c r="J5" s="6" t="e">
        <f t="shared" si="1"/>
        <v>#DIV/0!</v>
      </c>
      <c r="K5" s="6" t="e">
        <f t="shared" si="1"/>
        <v>#DIV/0!</v>
      </c>
      <c r="L5" s="6" t="e">
        <f t="shared" si="1"/>
        <v>#DIV/0!</v>
      </c>
      <c r="M5" s="6" t="e">
        <f t="shared" si="1"/>
        <v>#DIV/0!</v>
      </c>
      <c r="N5" s="7" t="e">
        <f>N4</f>
        <v>#DIV/0!</v>
      </c>
    </row>
    <row r="6" spans="1:14" ht="12.75">
      <c r="A6" s="12" t="s">
        <v>12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70">
        <f>SUM(B6:M6)</f>
        <v>0</v>
      </c>
    </row>
    <row r="7" spans="1:14" ht="13.5" thickBot="1">
      <c r="A7" s="13" t="s">
        <v>26</v>
      </c>
      <c r="B7" s="68" t="e">
        <f aca="true" t="shared" si="2" ref="B7:N7">B6/B3</f>
        <v>#DIV/0!</v>
      </c>
      <c r="C7" s="68" t="e">
        <f t="shared" si="2"/>
        <v>#DIV/0!</v>
      </c>
      <c r="D7" s="68" t="e">
        <f t="shared" si="2"/>
        <v>#DIV/0!</v>
      </c>
      <c r="E7" s="68" t="e">
        <f t="shared" si="2"/>
        <v>#DIV/0!</v>
      </c>
      <c r="F7" s="68" t="e">
        <f t="shared" si="2"/>
        <v>#DIV/0!</v>
      </c>
      <c r="G7" s="68" t="e">
        <f t="shared" si="2"/>
        <v>#DIV/0!</v>
      </c>
      <c r="H7" s="68" t="e">
        <f t="shared" si="2"/>
        <v>#DIV/0!</v>
      </c>
      <c r="I7" s="68" t="e">
        <f t="shared" si="2"/>
        <v>#DIV/0!</v>
      </c>
      <c r="J7" s="68" t="e">
        <f t="shared" si="2"/>
        <v>#DIV/0!</v>
      </c>
      <c r="K7" s="68" t="e">
        <f t="shared" si="2"/>
        <v>#DIV/0!</v>
      </c>
      <c r="L7" s="68" t="e">
        <f t="shared" si="2"/>
        <v>#DIV/0!</v>
      </c>
      <c r="M7" s="68" t="e">
        <f t="shared" si="2"/>
        <v>#DIV/0!</v>
      </c>
      <c r="N7" s="69" t="e">
        <f t="shared" si="2"/>
        <v>#DIV/0!</v>
      </c>
    </row>
    <row r="8" spans="1:14" ht="0.75" customHeight="1">
      <c r="A8" s="9" t="s">
        <v>11</v>
      </c>
      <c r="B8" s="10" t="e">
        <f>N7</f>
        <v>#DIV/0!</v>
      </c>
      <c r="C8" s="10" t="e">
        <f>N7</f>
        <v>#DIV/0!</v>
      </c>
      <c r="D8" s="10" t="e">
        <f>N7</f>
        <v>#DIV/0!</v>
      </c>
      <c r="E8" s="10" t="e">
        <f>N7</f>
        <v>#DIV/0!</v>
      </c>
      <c r="F8" s="10" t="e">
        <f>N7</f>
        <v>#DIV/0!</v>
      </c>
      <c r="G8" s="10" t="e">
        <f>N7</f>
        <v>#DIV/0!</v>
      </c>
      <c r="H8" s="10" t="e">
        <f>N7</f>
        <v>#DIV/0!</v>
      </c>
      <c r="I8" s="10" t="e">
        <f>N7</f>
        <v>#DIV/0!</v>
      </c>
      <c r="J8" s="10" t="e">
        <f>N7</f>
        <v>#DIV/0!</v>
      </c>
      <c r="K8" s="10" t="e">
        <f>N7</f>
        <v>#DIV/0!</v>
      </c>
      <c r="L8" s="10" t="e">
        <f>N7</f>
        <v>#DIV/0!</v>
      </c>
      <c r="M8" s="10" t="e">
        <f>N7</f>
        <v>#DIV/0!</v>
      </c>
      <c r="N8" s="10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4" width="11.28125" style="0" customWidth="1"/>
  </cols>
  <sheetData>
    <row r="1" spans="1:14" s="26" customFormat="1" ht="13.5" thickBot="1">
      <c r="A1" s="27">
        <v>2009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9</v>
      </c>
      <c r="G1" s="28" t="s">
        <v>17</v>
      </c>
      <c r="H1" s="28" t="s">
        <v>18</v>
      </c>
      <c r="I1" s="28" t="s">
        <v>19</v>
      </c>
      <c r="J1" s="28" t="s">
        <v>20</v>
      </c>
      <c r="K1" s="28" t="s">
        <v>21</v>
      </c>
      <c r="L1" s="28" t="s">
        <v>22</v>
      </c>
      <c r="M1" s="28" t="s">
        <v>23</v>
      </c>
      <c r="N1" s="29" t="s">
        <v>10</v>
      </c>
    </row>
    <row r="2" spans="1:14" ht="12.75">
      <c r="A2" s="12" t="s">
        <v>24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3">
        <v>0</v>
      </c>
      <c r="I2" s="2">
        <v>0</v>
      </c>
      <c r="J2" s="4">
        <v>0</v>
      </c>
      <c r="K2" s="2">
        <v>0</v>
      </c>
      <c r="L2" s="2">
        <v>0</v>
      </c>
      <c r="M2" s="2">
        <v>0</v>
      </c>
      <c r="N2" s="5">
        <f>SUM(B2:M2)</f>
        <v>0</v>
      </c>
    </row>
    <row r="3" spans="1:14" ht="12.75">
      <c r="A3" s="12" t="s">
        <v>4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</v>
      </c>
      <c r="K3" s="2">
        <v>0</v>
      </c>
      <c r="L3" s="2">
        <v>0</v>
      </c>
      <c r="M3" s="2">
        <v>0</v>
      </c>
      <c r="N3" s="5">
        <f>SUM(B3:M3)</f>
        <v>0</v>
      </c>
    </row>
    <row r="4" spans="1:14" ht="12.75">
      <c r="A4" s="12" t="s">
        <v>25</v>
      </c>
      <c r="B4" s="6" t="e">
        <f aca="true" t="shared" si="0" ref="B4:N4">B3/B2*100</f>
        <v>#DIV/0!</v>
      </c>
      <c r="C4" s="6" t="e">
        <f t="shared" si="0"/>
        <v>#DIV/0!</v>
      </c>
      <c r="D4" s="6" t="e">
        <f t="shared" si="0"/>
        <v>#DIV/0!</v>
      </c>
      <c r="E4" s="6" t="e">
        <f t="shared" si="0"/>
        <v>#DIV/0!</v>
      </c>
      <c r="F4" s="6" t="e">
        <f t="shared" si="0"/>
        <v>#DIV/0!</v>
      </c>
      <c r="G4" s="6" t="e">
        <f t="shared" si="0"/>
        <v>#DIV/0!</v>
      </c>
      <c r="H4" s="6" t="e">
        <f t="shared" si="0"/>
        <v>#DIV/0!</v>
      </c>
      <c r="I4" s="6" t="e">
        <f t="shared" si="0"/>
        <v>#DIV/0!</v>
      </c>
      <c r="J4" s="6" t="e">
        <f t="shared" si="0"/>
        <v>#DIV/0!</v>
      </c>
      <c r="K4" s="6" t="e">
        <f t="shared" si="0"/>
        <v>#DIV/0!</v>
      </c>
      <c r="L4" s="6" t="e">
        <f t="shared" si="0"/>
        <v>#DIV/0!</v>
      </c>
      <c r="M4" s="6" t="e">
        <f t="shared" si="0"/>
        <v>#DIV/0!</v>
      </c>
      <c r="N4" s="7" t="e">
        <f t="shared" si="0"/>
        <v>#DIV/0!</v>
      </c>
    </row>
    <row r="5" spans="1:14" ht="12.75" hidden="1">
      <c r="A5" s="12" t="s">
        <v>11</v>
      </c>
      <c r="B5" s="6" t="e">
        <f aca="true" t="shared" si="1" ref="B5:M5">C5</f>
        <v>#DIV/0!</v>
      </c>
      <c r="C5" s="6" t="e">
        <f t="shared" si="1"/>
        <v>#DIV/0!</v>
      </c>
      <c r="D5" s="6" t="e">
        <f t="shared" si="1"/>
        <v>#DIV/0!</v>
      </c>
      <c r="E5" s="6" t="e">
        <f t="shared" si="1"/>
        <v>#DIV/0!</v>
      </c>
      <c r="F5" s="6" t="e">
        <f t="shared" si="1"/>
        <v>#DIV/0!</v>
      </c>
      <c r="G5" s="6" t="e">
        <f t="shared" si="1"/>
        <v>#DIV/0!</v>
      </c>
      <c r="H5" s="6" t="e">
        <f t="shared" si="1"/>
        <v>#DIV/0!</v>
      </c>
      <c r="I5" s="6" t="e">
        <f t="shared" si="1"/>
        <v>#DIV/0!</v>
      </c>
      <c r="J5" s="6" t="e">
        <f t="shared" si="1"/>
        <v>#DIV/0!</v>
      </c>
      <c r="K5" s="6" t="e">
        <f t="shared" si="1"/>
        <v>#DIV/0!</v>
      </c>
      <c r="L5" s="6" t="e">
        <f t="shared" si="1"/>
        <v>#DIV/0!</v>
      </c>
      <c r="M5" s="6" t="e">
        <f t="shared" si="1"/>
        <v>#DIV/0!</v>
      </c>
      <c r="N5" s="7" t="e">
        <f>N4</f>
        <v>#DIV/0!</v>
      </c>
    </row>
    <row r="6" spans="1:14" ht="12.75">
      <c r="A6" s="12" t="s">
        <v>12</v>
      </c>
      <c r="B6" s="66">
        <v>0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70">
        <f>SUM(B6:M6)</f>
        <v>0</v>
      </c>
    </row>
    <row r="7" spans="1:14" ht="13.5" thickBot="1">
      <c r="A7" s="13" t="s">
        <v>26</v>
      </c>
      <c r="B7" s="68" t="e">
        <f aca="true" t="shared" si="2" ref="B7:N7">B6/B3</f>
        <v>#DIV/0!</v>
      </c>
      <c r="C7" s="68" t="e">
        <f t="shared" si="2"/>
        <v>#DIV/0!</v>
      </c>
      <c r="D7" s="68" t="e">
        <f t="shared" si="2"/>
        <v>#DIV/0!</v>
      </c>
      <c r="E7" s="68" t="e">
        <f t="shared" si="2"/>
        <v>#DIV/0!</v>
      </c>
      <c r="F7" s="68" t="e">
        <f t="shared" si="2"/>
        <v>#DIV/0!</v>
      </c>
      <c r="G7" s="68" t="e">
        <f t="shared" si="2"/>
        <v>#DIV/0!</v>
      </c>
      <c r="H7" s="68" t="e">
        <f t="shared" si="2"/>
        <v>#DIV/0!</v>
      </c>
      <c r="I7" s="68" t="e">
        <f t="shared" si="2"/>
        <v>#DIV/0!</v>
      </c>
      <c r="J7" s="68" t="e">
        <f t="shared" si="2"/>
        <v>#DIV/0!</v>
      </c>
      <c r="K7" s="68" t="e">
        <f t="shared" si="2"/>
        <v>#DIV/0!</v>
      </c>
      <c r="L7" s="68" t="e">
        <f t="shared" si="2"/>
        <v>#DIV/0!</v>
      </c>
      <c r="M7" s="68" t="e">
        <f t="shared" si="2"/>
        <v>#DIV/0!</v>
      </c>
      <c r="N7" s="69" t="e">
        <f t="shared" si="2"/>
        <v>#DIV/0!</v>
      </c>
    </row>
    <row r="8" spans="1:14" ht="0.75" customHeight="1">
      <c r="A8" s="9" t="s">
        <v>11</v>
      </c>
      <c r="B8" s="10" t="e">
        <f>N7</f>
        <v>#DIV/0!</v>
      </c>
      <c r="C8" s="10" t="e">
        <f>N7</f>
        <v>#DIV/0!</v>
      </c>
      <c r="D8" s="10" t="e">
        <f>N7</f>
        <v>#DIV/0!</v>
      </c>
      <c r="E8" s="10" t="e">
        <f>N7</f>
        <v>#DIV/0!</v>
      </c>
      <c r="F8" s="10" t="e">
        <f>N7</f>
        <v>#DIV/0!</v>
      </c>
      <c r="G8" s="10" t="e">
        <f>N7</f>
        <v>#DIV/0!</v>
      </c>
      <c r="H8" s="10" t="e">
        <f>N7</f>
        <v>#DIV/0!</v>
      </c>
      <c r="I8" s="10" t="e">
        <f>N7</f>
        <v>#DIV/0!</v>
      </c>
      <c r="J8" s="10" t="e">
        <f>N7</f>
        <v>#DIV/0!</v>
      </c>
      <c r="K8" s="10" t="e">
        <f>N7</f>
        <v>#DIV/0!</v>
      </c>
      <c r="L8" s="10" t="e">
        <f>N7</f>
        <v>#DIV/0!</v>
      </c>
      <c r="M8" s="10" t="e">
        <f>N7</f>
        <v>#DIV/0!</v>
      </c>
      <c r="N8" s="10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7.140625" style="15" customWidth="1"/>
    <col min="2" max="2" width="7.00390625" style="15" customWidth="1"/>
    <col min="3" max="3" width="9.28125" style="15" customWidth="1"/>
    <col min="4" max="4" width="8.421875" style="15" hidden="1" customWidth="1"/>
    <col min="5" max="6" width="9.8515625" style="15" bestFit="1" customWidth="1"/>
    <col min="7" max="7" width="7.421875" style="20" customWidth="1"/>
    <col min="8" max="16384" width="11.421875" style="14" customWidth="1"/>
  </cols>
  <sheetData>
    <row r="1" ht="13.5" thickBot="1"/>
    <row r="2" spans="1:7" ht="13.5" thickBot="1">
      <c r="A2" s="11" t="s">
        <v>27</v>
      </c>
      <c r="B2" s="159" t="s">
        <v>24</v>
      </c>
      <c r="C2" s="16" t="s">
        <v>4</v>
      </c>
      <c r="D2" s="16" t="s">
        <v>12</v>
      </c>
      <c r="E2" s="169" t="s">
        <v>30</v>
      </c>
      <c r="F2" s="30" t="s">
        <v>28</v>
      </c>
      <c r="G2" s="18" t="s">
        <v>29</v>
      </c>
    </row>
    <row r="3" spans="1:7" ht="12.75">
      <c r="A3" s="17">
        <v>2003</v>
      </c>
      <c r="B3" s="2">
        <f>'2003'!N2</f>
        <v>9921</v>
      </c>
      <c r="C3" s="165">
        <f>'2003'!N3</f>
        <v>1232.07</v>
      </c>
      <c r="D3" s="91">
        <f>'2003'!N6</f>
        <v>1235.92</v>
      </c>
      <c r="E3" s="170">
        <f aca="true" t="shared" si="0" ref="E3:E9">D3</f>
        <v>1235.92</v>
      </c>
      <c r="F3" s="162">
        <f aca="true" t="shared" si="1" ref="F3:F8">E3/C3</f>
        <v>1.0031248224532698</v>
      </c>
      <c r="G3" s="7">
        <f>'2003'!N4</f>
        <v>12.418808587843968</v>
      </c>
    </row>
    <row r="4" spans="1:7" ht="12.75">
      <c r="A4" s="17">
        <v>2004</v>
      </c>
      <c r="B4" s="174">
        <f>'2004'!N2</f>
        <v>9112</v>
      </c>
      <c r="C4" s="3">
        <f>'2004'!N3</f>
        <v>1197.7</v>
      </c>
      <c r="D4" s="91">
        <f>'2004'!N6</f>
        <v>1269.48</v>
      </c>
      <c r="E4" s="171">
        <f t="shared" si="0"/>
        <v>1269.48</v>
      </c>
      <c r="F4" s="75">
        <f t="shared" si="1"/>
        <v>1.0599315354429322</v>
      </c>
      <c r="G4" s="160">
        <f>'2004'!N4</f>
        <v>13.144205443371378</v>
      </c>
    </row>
    <row r="5" spans="1:7" ht="12.75">
      <c r="A5" s="17">
        <v>2005</v>
      </c>
      <c r="B5" s="164">
        <f>'2005'!N2</f>
        <v>10142</v>
      </c>
      <c r="C5" s="166">
        <f>'2005'!N3</f>
        <v>1186.76</v>
      </c>
      <c r="D5" s="76">
        <f>'2005'!N6</f>
        <v>1395.39</v>
      </c>
      <c r="E5" s="172">
        <f t="shared" si="0"/>
        <v>1395.39</v>
      </c>
      <c r="F5" s="163">
        <f t="shared" si="1"/>
        <v>1.1757979709461055</v>
      </c>
      <c r="G5" s="161">
        <f>'2005'!N4</f>
        <v>11.701439558272531</v>
      </c>
    </row>
    <row r="6" spans="1:7" ht="12.75">
      <c r="A6" s="17">
        <v>2006</v>
      </c>
      <c r="B6" s="189">
        <f>'2006'!N2</f>
        <v>1976</v>
      </c>
      <c r="C6" s="190">
        <f>'2006'!N3</f>
        <v>235</v>
      </c>
      <c r="D6" s="191">
        <f>'2006'!N6</f>
        <v>289.6</v>
      </c>
      <c r="E6" s="192">
        <f>D6</f>
        <v>289.6</v>
      </c>
      <c r="F6" s="193">
        <f>E6/C6</f>
        <v>1.232340425531915</v>
      </c>
      <c r="G6" s="194">
        <f>'2006'!N4</f>
        <v>11.892712550607287</v>
      </c>
    </row>
    <row r="7" spans="1:7" ht="12.75">
      <c r="A7" s="17">
        <v>2007</v>
      </c>
      <c r="B7" s="2">
        <f>'2007'!N2</f>
        <v>0</v>
      </c>
      <c r="C7" s="3">
        <f>'2007'!N3</f>
        <v>0</v>
      </c>
      <c r="D7" s="76">
        <f>'2007'!N6</f>
        <v>0</v>
      </c>
      <c r="E7" s="170">
        <f t="shared" si="0"/>
        <v>0</v>
      </c>
      <c r="F7" s="75" t="e">
        <f t="shared" si="1"/>
        <v>#DIV/0!</v>
      </c>
      <c r="G7" s="7" t="e">
        <f>'2007'!N4</f>
        <v>#DIV/0!</v>
      </c>
    </row>
    <row r="8" spans="1:7" ht="13.5" thickBot="1">
      <c r="A8" s="17">
        <v>2008</v>
      </c>
      <c r="B8" s="188">
        <f>'2008'!N2</f>
        <v>0</v>
      </c>
      <c r="C8" s="167">
        <f>'2008'!N3</f>
        <v>0</v>
      </c>
      <c r="D8" s="77">
        <f>'2008'!N6</f>
        <v>0</v>
      </c>
      <c r="E8" s="170">
        <f t="shared" si="0"/>
        <v>0</v>
      </c>
      <c r="F8" s="75" t="e">
        <f t="shared" si="1"/>
        <v>#DIV/0!</v>
      </c>
      <c r="G8" s="19" t="e">
        <f>'2008'!N4</f>
        <v>#DIV/0!</v>
      </c>
    </row>
    <row r="9" spans="1:7" ht="13.5" thickBot="1">
      <c r="A9" s="17">
        <v>2009</v>
      </c>
      <c r="B9" s="188">
        <f>'2009'!N2</f>
        <v>0</v>
      </c>
      <c r="C9" s="167">
        <f>'2009'!N3</f>
        <v>0</v>
      </c>
      <c r="D9" s="77">
        <f>'2009'!N6</f>
        <v>0</v>
      </c>
      <c r="E9" s="170">
        <f t="shared" si="0"/>
        <v>0</v>
      </c>
      <c r="F9" s="75" t="e">
        <f>E9/C9</f>
        <v>#DIV/0!</v>
      </c>
      <c r="G9" s="19" t="e">
        <f>'2009'!N4</f>
        <v>#DIV/0!</v>
      </c>
    </row>
    <row r="10" spans="1:7" ht="13.5" thickBot="1">
      <c r="A10" s="11" t="s">
        <v>10</v>
      </c>
      <c r="B10" s="159">
        <f>SUM(B3:B9)</f>
        <v>31151</v>
      </c>
      <c r="C10" s="168">
        <f>SUM(C3:C9)</f>
        <v>3851.5299999999997</v>
      </c>
      <c r="D10" s="95">
        <f>SUM(D3:D9)</f>
        <v>4190.39</v>
      </c>
      <c r="E10" s="173">
        <f>SUM(E3:E9)</f>
        <v>4190.39</v>
      </c>
      <c r="F10" s="95">
        <f>D10/C10</f>
        <v>1.087980620688402</v>
      </c>
      <c r="G10" s="102">
        <f>C10/B10*100</f>
        <v>12.364065359057493</v>
      </c>
    </row>
    <row r="12" spans="1:6" ht="12.75">
      <c r="A12" s="22" t="s">
        <v>32</v>
      </c>
      <c r="B12" s="23"/>
      <c r="C12" s="23"/>
      <c r="E12" s="96">
        <f>D10/C10</f>
        <v>1.087980620688402</v>
      </c>
      <c r="F12" s="21"/>
    </row>
  </sheetData>
  <printOptions/>
  <pageMargins left="0.04" right="0.46" top="1" bottom="1" header="0.4921259845" footer="0.4921259845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workbookViewId="0" topLeftCell="A1">
      <pane ySplit="840" topLeftCell="BM15" activePane="topLeft" state="split"/>
      <selection pane="topLeft" activeCell="A1" sqref="A1"/>
      <selection pane="bottomLeft" activeCell="F22" sqref="F22"/>
    </sheetView>
  </sheetViews>
  <sheetFormatPr defaultColWidth="11.421875" defaultRowHeight="12.75"/>
  <cols>
    <col min="1" max="1" width="13.7109375" style="38" bestFit="1" customWidth="1"/>
    <col min="2" max="2" width="9.140625" style="33" bestFit="1" customWidth="1"/>
    <col min="3" max="3" width="9.57421875" style="33" bestFit="1" customWidth="1"/>
    <col min="4" max="4" width="5.28125" style="33" bestFit="1" customWidth="1"/>
    <col min="5" max="6" width="8.140625" style="33" bestFit="1" customWidth="1"/>
    <col min="7" max="7" width="5.00390625" style="33" hidden="1" customWidth="1"/>
    <col min="8" max="9" width="8.140625" style="33" bestFit="1" customWidth="1"/>
    <col min="10" max="10" width="6.57421875" style="33" hidden="1" customWidth="1"/>
    <col min="11" max="11" width="9.140625" style="33" bestFit="1" customWidth="1"/>
    <col min="12" max="12" width="15.28125" style="33" bestFit="1" customWidth="1"/>
    <col min="13" max="16384" width="11.421875" style="33" customWidth="1"/>
  </cols>
  <sheetData>
    <row r="1" spans="1:11" ht="39" thickBot="1">
      <c r="A1" s="41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4" t="s">
        <v>34</v>
      </c>
      <c r="J1" s="32" t="s">
        <v>6</v>
      </c>
      <c r="K1" s="79" t="s">
        <v>31</v>
      </c>
    </row>
    <row r="2" spans="1:11" ht="12.75">
      <c r="A2" s="45">
        <v>37930</v>
      </c>
      <c r="B2" s="46">
        <v>31296</v>
      </c>
      <c r="C2" s="46">
        <f>B2-Conso1!B21</f>
        <v>438</v>
      </c>
      <c r="D2" s="47">
        <v>1</v>
      </c>
      <c r="E2" s="48">
        <v>50</v>
      </c>
      <c r="F2" s="49">
        <f aca="true" t="shared" si="0" ref="F2:F21">E2/C2*100</f>
        <v>11.415525114155251</v>
      </c>
      <c r="G2" s="49">
        <f>F22</f>
        <v>12.954728370221327</v>
      </c>
      <c r="H2" s="48">
        <v>53</v>
      </c>
      <c r="I2" s="85">
        <f aca="true" t="shared" si="1" ref="I2:I22">H2/E2</f>
        <v>1.06</v>
      </c>
      <c r="J2" s="34">
        <f>I22</f>
        <v>1.0299370971499575</v>
      </c>
      <c r="K2" s="80">
        <v>32</v>
      </c>
    </row>
    <row r="3" spans="1:11" ht="12.75">
      <c r="A3" s="50">
        <v>37947</v>
      </c>
      <c r="B3" s="51">
        <v>31637</v>
      </c>
      <c r="C3" s="51">
        <f aca="true" t="shared" si="2" ref="C3:C21">B3-B2</f>
        <v>341</v>
      </c>
      <c r="D3" s="52">
        <f aca="true" t="shared" si="3" ref="D3:D21">D2+1</f>
        <v>2</v>
      </c>
      <c r="E3" s="53">
        <v>55</v>
      </c>
      <c r="F3" s="54">
        <f t="shared" si="0"/>
        <v>16.129032258064516</v>
      </c>
      <c r="G3" s="54">
        <f>F22</f>
        <v>12.954728370221327</v>
      </c>
      <c r="H3" s="53">
        <v>57.75</v>
      </c>
      <c r="I3" s="86">
        <f t="shared" si="1"/>
        <v>1.05</v>
      </c>
      <c r="J3" s="35">
        <f>I22</f>
        <v>1.0299370971499575</v>
      </c>
      <c r="K3" s="81">
        <v>21</v>
      </c>
    </row>
    <row r="4" spans="1:11" ht="12.75">
      <c r="A4" s="50">
        <v>37971</v>
      </c>
      <c r="B4" s="51">
        <v>31935</v>
      </c>
      <c r="C4" s="51">
        <f t="shared" si="2"/>
        <v>298</v>
      </c>
      <c r="D4" s="52">
        <f t="shared" si="3"/>
        <v>3</v>
      </c>
      <c r="E4" s="53">
        <v>53.5</v>
      </c>
      <c r="F4" s="54">
        <f t="shared" si="0"/>
        <v>17.953020134228186</v>
      </c>
      <c r="G4" s="54">
        <f>F22</f>
        <v>12.954728370221327</v>
      </c>
      <c r="H4" s="53">
        <v>57.5</v>
      </c>
      <c r="I4" s="86">
        <f t="shared" si="1"/>
        <v>1.074766355140187</v>
      </c>
      <c r="J4" s="35">
        <f>I22</f>
        <v>1.0299370971499575</v>
      </c>
      <c r="K4" s="81">
        <v>16</v>
      </c>
    </row>
    <row r="5" spans="1:11" ht="12.75">
      <c r="A5" s="50">
        <v>37972</v>
      </c>
      <c r="B5" s="51">
        <v>32384</v>
      </c>
      <c r="C5" s="51">
        <f t="shared" si="2"/>
        <v>449</v>
      </c>
      <c r="D5" s="52">
        <f t="shared" si="3"/>
        <v>4</v>
      </c>
      <c r="E5" s="53">
        <v>49</v>
      </c>
      <c r="F5" s="54">
        <f t="shared" si="0"/>
        <v>10.913140311804009</v>
      </c>
      <c r="G5" s="54">
        <f>F22</f>
        <v>12.954728370221327</v>
      </c>
      <c r="H5" s="53">
        <v>48.27</v>
      </c>
      <c r="I5" s="86">
        <f t="shared" si="1"/>
        <v>0.9851020408163266</v>
      </c>
      <c r="J5" s="35">
        <f>I22</f>
        <v>1.0299370971499575</v>
      </c>
      <c r="K5" s="81">
        <v>77</v>
      </c>
    </row>
    <row r="6" spans="1:11" ht="12.75">
      <c r="A6" s="50">
        <v>37975</v>
      </c>
      <c r="B6" s="51">
        <v>32680</v>
      </c>
      <c r="C6" s="51">
        <f t="shared" si="2"/>
        <v>296</v>
      </c>
      <c r="D6" s="52">
        <f t="shared" si="3"/>
        <v>5</v>
      </c>
      <c r="E6" s="53">
        <v>32.5</v>
      </c>
      <c r="F6" s="54">
        <f t="shared" si="0"/>
        <v>10.97972972972973</v>
      </c>
      <c r="G6" s="54">
        <f>F22</f>
        <v>12.954728370221327</v>
      </c>
      <c r="H6" s="53">
        <v>32.99</v>
      </c>
      <c r="I6" s="86">
        <f t="shared" si="1"/>
        <v>1.0150769230769232</v>
      </c>
      <c r="J6" s="35">
        <f>I22</f>
        <v>1.0299370971499575</v>
      </c>
      <c r="K6" s="81">
        <v>59</v>
      </c>
    </row>
    <row r="7" spans="1:11" ht="12.75">
      <c r="A7" s="50">
        <v>37975</v>
      </c>
      <c r="B7" s="51">
        <v>33157</v>
      </c>
      <c r="C7" s="51">
        <f t="shared" si="2"/>
        <v>477</v>
      </c>
      <c r="D7" s="52">
        <f t="shared" si="3"/>
        <v>6</v>
      </c>
      <c r="E7" s="53">
        <v>51.52</v>
      </c>
      <c r="F7" s="54">
        <f t="shared" si="0"/>
        <v>10.800838574423482</v>
      </c>
      <c r="G7" s="54">
        <f>F22</f>
        <v>12.954728370221327</v>
      </c>
      <c r="H7" s="53">
        <v>51</v>
      </c>
      <c r="I7" s="86">
        <f t="shared" si="1"/>
        <v>0.9899068322981366</v>
      </c>
      <c r="J7" s="35">
        <f>I22</f>
        <v>1.0299370971499575</v>
      </c>
      <c r="K7" s="81">
        <v>122</v>
      </c>
    </row>
    <row r="8" spans="1:11" ht="12.75">
      <c r="A8" s="50">
        <v>37982</v>
      </c>
      <c r="B8" s="51">
        <v>33587</v>
      </c>
      <c r="C8" s="51">
        <f t="shared" si="2"/>
        <v>430</v>
      </c>
      <c r="D8" s="52">
        <f t="shared" si="3"/>
        <v>7</v>
      </c>
      <c r="E8" s="53">
        <v>47</v>
      </c>
      <c r="F8" s="54">
        <f t="shared" si="0"/>
        <v>10.930232558139535</v>
      </c>
      <c r="G8" s="54">
        <f>F22</f>
        <v>12.954728370221327</v>
      </c>
      <c r="H8" s="53">
        <v>46.11</v>
      </c>
      <c r="I8" s="86">
        <f t="shared" si="1"/>
        <v>0.981063829787234</v>
      </c>
      <c r="J8" s="35">
        <f>I22</f>
        <v>1.0299370971499575</v>
      </c>
      <c r="K8" s="81">
        <v>46</v>
      </c>
    </row>
    <row r="9" spans="1:11" ht="12.75">
      <c r="A9" s="108">
        <v>37986</v>
      </c>
      <c r="B9" s="109">
        <v>34239</v>
      </c>
      <c r="C9" s="109">
        <f t="shared" si="2"/>
        <v>652</v>
      </c>
      <c r="D9" s="110">
        <f t="shared" si="3"/>
        <v>8</v>
      </c>
      <c r="E9" s="111">
        <f>20+50</f>
        <v>70</v>
      </c>
      <c r="F9" s="112">
        <f t="shared" si="0"/>
        <v>10.736196319018406</v>
      </c>
      <c r="G9" s="112">
        <f>F22</f>
        <v>12.954728370221327</v>
      </c>
      <c r="H9" s="111">
        <f>21.6+48.35</f>
        <v>69.95</v>
      </c>
      <c r="I9" s="113">
        <f t="shared" si="1"/>
        <v>0.9992857142857143</v>
      </c>
      <c r="J9" s="114">
        <f>I22</f>
        <v>1.0299370971499575</v>
      </c>
      <c r="K9" s="115">
        <v>67</v>
      </c>
    </row>
    <row r="10" spans="1:11" ht="12.75">
      <c r="A10" s="55">
        <v>38004</v>
      </c>
      <c r="B10" s="51">
        <v>34573</v>
      </c>
      <c r="C10" s="51">
        <f t="shared" si="2"/>
        <v>334</v>
      </c>
      <c r="D10" s="52">
        <f t="shared" si="3"/>
        <v>9</v>
      </c>
      <c r="E10" s="53">
        <v>51</v>
      </c>
      <c r="F10" s="54">
        <f t="shared" si="0"/>
        <v>15.269461077844312</v>
      </c>
      <c r="G10" s="54">
        <f>F22</f>
        <v>12.954728370221327</v>
      </c>
      <c r="H10" s="53">
        <v>52.4</v>
      </c>
      <c r="I10" s="86">
        <f t="shared" si="1"/>
        <v>1.0274509803921568</v>
      </c>
      <c r="J10" s="35">
        <f>I22</f>
        <v>1.0299370971499575</v>
      </c>
      <c r="K10" s="81">
        <v>22</v>
      </c>
    </row>
    <row r="11" spans="1:11" ht="12.75">
      <c r="A11" s="55">
        <v>38023</v>
      </c>
      <c r="B11" s="51">
        <v>34898</v>
      </c>
      <c r="C11" s="51">
        <f t="shared" si="2"/>
        <v>325</v>
      </c>
      <c r="D11" s="52">
        <f t="shared" si="3"/>
        <v>10</v>
      </c>
      <c r="E11" s="53">
        <v>57.12</v>
      </c>
      <c r="F11" s="54">
        <f t="shared" si="0"/>
        <v>17.575384615384614</v>
      </c>
      <c r="G11" s="54">
        <f>F22</f>
        <v>12.954728370221327</v>
      </c>
      <c r="H11" s="53">
        <v>61</v>
      </c>
      <c r="I11" s="86">
        <f t="shared" si="1"/>
        <v>1.0679271708683473</v>
      </c>
      <c r="J11" s="35">
        <f>I22</f>
        <v>1.0299370971499575</v>
      </c>
      <c r="K11" s="81">
        <v>18</v>
      </c>
    </row>
    <row r="12" spans="1:11" ht="12.75">
      <c r="A12" s="55">
        <v>38034</v>
      </c>
      <c r="B12" s="51">
        <v>35341</v>
      </c>
      <c r="C12" s="51">
        <f t="shared" si="2"/>
        <v>443</v>
      </c>
      <c r="D12" s="52">
        <f t="shared" si="3"/>
        <v>11</v>
      </c>
      <c r="E12" s="53">
        <v>48</v>
      </c>
      <c r="F12" s="54">
        <f t="shared" si="0"/>
        <v>10.835214446952596</v>
      </c>
      <c r="G12" s="54">
        <f>F22</f>
        <v>12.954728370221327</v>
      </c>
      <c r="H12" s="53">
        <v>46.8</v>
      </c>
      <c r="I12" s="86">
        <f t="shared" si="1"/>
        <v>0.975</v>
      </c>
      <c r="J12" s="35">
        <f>I22</f>
        <v>1.0299370971499575</v>
      </c>
      <c r="K12" s="81">
        <v>38</v>
      </c>
    </row>
    <row r="13" spans="1:11" ht="12.75">
      <c r="A13" s="55">
        <v>38043</v>
      </c>
      <c r="B13" s="51">
        <v>35776</v>
      </c>
      <c r="C13" s="51">
        <f t="shared" si="2"/>
        <v>435</v>
      </c>
      <c r="D13" s="52">
        <f t="shared" si="3"/>
        <v>12</v>
      </c>
      <c r="E13" s="53">
        <v>54.5</v>
      </c>
      <c r="F13" s="54">
        <f t="shared" si="0"/>
        <v>12.528735632183906</v>
      </c>
      <c r="G13" s="54">
        <f>F22</f>
        <v>12.954728370221327</v>
      </c>
      <c r="H13" s="53">
        <v>55.05</v>
      </c>
      <c r="I13" s="86">
        <f t="shared" si="1"/>
        <v>1.010091743119266</v>
      </c>
      <c r="J13" s="35">
        <f>I22</f>
        <v>1.0299370971499575</v>
      </c>
      <c r="K13" s="81">
        <v>40</v>
      </c>
    </row>
    <row r="14" spans="1:11" ht="12.75">
      <c r="A14" s="55">
        <v>38057</v>
      </c>
      <c r="B14" s="51">
        <v>36119</v>
      </c>
      <c r="C14" s="51">
        <f t="shared" si="2"/>
        <v>343</v>
      </c>
      <c r="D14" s="52">
        <f t="shared" si="3"/>
        <v>13</v>
      </c>
      <c r="E14" s="53">
        <v>49.02</v>
      </c>
      <c r="F14" s="54">
        <f t="shared" si="0"/>
        <v>14.291545189504372</v>
      </c>
      <c r="G14" s="54">
        <f>F22</f>
        <v>12.954728370221327</v>
      </c>
      <c r="H14" s="53">
        <v>50</v>
      </c>
      <c r="I14" s="86">
        <f t="shared" si="1"/>
        <v>1.0199918400652794</v>
      </c>
      <c r="J14" s="35">
        <f>I22</f>
        <v>1.0299370971499575</v>
      </c>
      <c r="K14" s="81">
        <v>20</v>
      </c>
    </row>
    <row r="15" spans="1:11" ht="12.75">
      <c r="A15" s="55">
        <v>38068</v>
      </c>
      <c r="B15" s="51">
        <v>36483</v>
      </c>
      <c r="C15" s="51">
        <f t="shared" si="2"/>
        <v>364</v>
      </c>
      <c r="D15" s="52">
        <f t="shared" si="3"/>
        <v>14</v>
      </c>
      <c r="E15" s="53">
        <v>55</v>
      </c>
      <c r="F15" s="54">
        <f t="shared" si="0"/>
        <v>15.10989010989011</v>
      </c>
      <c r="G15" s="54">
        <f>F22</f>
        <v>12.954728370221327</v>
      </c>
      <c r="H15" s="53">
        <v>55.55</v>
      </c>
      <c r="I15" s="86">
        <f t="shared" si="1"/>
        <v>1.01</v>
      </c>
      <c r="J15" s="35">
        <f>I22</f>
        <v>1.0299370971499575</v>
      </c>
      <c r="K15" s="81">
        <v>19</v>
      </c>
    </row>
    <row r="16" spans="1:11" ht="12.75">
      <c r="A16" s="55">
        <v>38074</v>
      </c>
      <c r="B16" s="51">
        <v>36817</v>
      </c>
      <c r="C16" s="51">
        <f t="shared" si="2"/>
        <v>334</v>
      </c>
      <c r="D16" s="52">
        <f t="shared" si="3"/>
        <v>15</v>
      </c>
      <c r="E16" s="53">
        <v>40</v>
      </c>
      <c r="F16" s="54">
        <f t="shared" si="0"/>
        <v>11.976047904191617</v>
      </c>
      <c r="G16" s="54">
        <f>F22</f>
        <v>12.954728370221327</v>
      </c>
      <c r="H16" s="53">
        <v>41.54</v>
      </c>
      <c r="I16" s="86">
        <f t="shared" si="1"/>
        <v>1.0385</v>
      </c>
      <c r="J16" s="35">
        <f>I22</f>
        <v>1.0299370971499575</v>
      </c>
      <c r="K16" s="81">
        <v>41</v>
      </c>
    </row>
    <row r="17" spans="1:12" ht="12.75">
      <c r="A17" s="55">
        <v>38078</v>
      </c>
      <c r="B17" s="51">
        <v>37148</v>
      </c>
      <c r="C17" s="51">
        <f t="shared" si="2"/>
        <v>331</v>
      </c>
      <c r="D17" s="52">
        <f t="shared" si="3"/>
        <v>16</v>
      </c>
      <c r="E17" s="53">
        <v>55.5</v>
      </c>
      <c r="F17" s="54">
        <f t="shared" si="0"/>
        <v>16.76737160120846</v>
      </c>
      <c r="G17" s="54">
        <f>F22</f>
        <v>12.954728370221327</v>
      </c>
      <c r="H17" s="53">
        <v>58.5</v>
      </c>
      <c r="I17" s="86">
        <f t="shared" si="1"/>
        <v>1.054054054054054</v>
      </c>
      <c r="J17" s="35">
        <f>I22</f>
        <v>1.0299370971499575</v>
      </c>
      <c r="K17" s="81">
        <v>48</v>
      </c>
      <c r="L17" s="33" t="s">
        <v>36</v>
      </c>
    </row>
    <row r="18" spans="1:11" ht="12.75">
      <c r="A18" s="50">
        <v>38094</v>
      </c>
      <c r="B18" s="51">
        <v>37514</v>
      </c>
      <c r="C18" s="51">
        <f t="shared" si="2"/>
        <v>366</v>
      </c>
      <c r="D18" s="52">
        <f t="shared" si="3"/>
        <v>17</v>
      </c>
      <c r="E18" s="53">
        <v>50</v>
      </c>
      <c r="F18" s="54">
        <f t="shared" si="0"/>
        <v>13.661202185792352</v>
      </c>
      <c r="G18" s="54">
        <f>F22</f>
        <v>12.954728370221327</v>
      </c>
      <c r="H18" s="54">
        <v>52</v>
      </c>
      <c r="I18" s="86">
        <f t="shared" si="1"/>
        <v>1.04</v>
      </c>
      <c r="J18" s="35">
        <f>I22</f>
        <v>1.0299370971499575</v>
      </c>
      <c r="K18" s="81">
        <v>20</v>
      </c>
    </row>
    <row r="19" spans="1:11" ht="13.5" thickBot="1">
      <c r="A19" s="55">
        <v>38097</v>
      </c>
      <c r="B19" s="51">
        <v>38020</v>
      </c>
      <c r="C19" s="51">
        <f t="shared" si="2"/>
        <v>506</v>
      </c>
      <c r="D19" s="52">
        <f t="shared" si="3"/>
        <v>18</v>
      </c>
      <c r="E19" s="53">
        <v>55</v>
      </c>
      <c r="F19" s="54">
        <f t="shared" si="0"/>
        <v>10.869565217391305</v>
      </c>
      <c r="G19" s="54">
        <f>F22</f>
        <v>12.954728370221327</v>
      </c>
      <c r="H19" s="53">
        <v>57.2</v>
      </c>
      <c r="I19" s="86">
        <f t="shared" si="1"/>
        <v>1.04</v>
      </c>
      <c r="J19" s="35">
        <f>I22</f>
        <v>1.0299370971499575</v>
      </c>
      <c r="K19" s="84">
        <v>63</v>
      </c>
    </row>
    <row r="20" spans="1:11" ht="13.5" thickTop="1">
      <c r="A20" s="55">
        <v>38111</v>
      </c>
      <c r="B20" s="51">
        <v>38468</v>
      </c>
      <c r="C20" s="51">
        <f t="shared" si="2"/>
        <v>448</v>
      </c>
      <c r="D20" s="52">
        <f t="shared" si="3"/>
        <v>19</v>
      </c>
      <c r="E20" s="53">
        <v>56.5</v>
      </c>
      <c r="F20" s="54">
        <f t="shared" si="0"/>
        <v>12.611607142857142</v>
      </c>
      <c r="G20" s="54">
        <f>F22</f>
        <v>12.954728370221327</v>
      </c>
      <c r="H20" s="53">
        <v>59.89</v>
      </c>
      <c r="I20" s="86">
        <f t="shared" si="1"/>
        <v>1.06</v>
      </c>
      <c r="J20" s="35">
        <f>I22</f>
        <v>1.0299370971499575</v>
      </c>
      <c r="K20" s="83">
        <v>28</v>
      </c>
    </row>
    <row r="21" spans="1:11" ht="13.5" thickBot="1">
      <c r="A21" s="56">
        <v>38127</v>
      </c>
      <c r="B21" s="57">
        <v>38810</v>
      </c>
      <c r="C21" s="57">
        <f t="shared" si="2"/>
        <v>342</v>
      </c>
      <c r="D21" s="58">
        <f t="shared" si="3"/>
        <v>20</v>
      </c>
      <c r="E21" s="59">
        <v>50</v>
      </c>
      <c r="F21" s="60">
        <f t="shared" si="0"/>
        <v>14.619883040935672</v>
      </c>
      <c r="G21" s="60">
        <f>F22</f>
        <v>12.954728370221327</v>
      </c>
      <c r="H21" s="59">
        <v>54.5</v>
      </c>
      <c r="I21" s="87">
        <f t="shared" si="1"/>
        <v>1.09</v>
      </c>
      <c r="J21" s="36">
        <f>I22</f>
        <v>1.0299370971499575</v>
      </c>
      <c r="K21" s="82">
        <v>19</v>
      </c>
    </row>
    <row r="22" spans="1:11" ht="13.5" thickBot="1">
      <c r="A22" s="31" t="s">
        <v>8</v>
      </c>
      <c r="B22" s="61">
        <f>B21</f>
        <v>38810</v>
      </c>
      <c r="C22" s="61">
        <f>SUM(C2:C21)+Conso1!C22</f>
        <v>14492</v>
      </c>
      <c r="D22" s="62"/>
      <c r="E22" s="63">
        <f>SUM(E2:E21)</f>
        <v>1030.1599999999999</v>
      </c>
      <c r="F22" s="64">
        <f>E22/SUM(C2:C21)*100</f>
        <v>12.954728370221327</v>
      </c>
      <c r="G22" s="64"/>
      <c r="H22" s="63">
        <f>SUM(H2:H21)</f>
        <v>1061</v>
      </c>
      <c r="I22" s="88">
        <f t="shared" si="1"/>
        <v>1.0299370971499575</v>
      </c>
      <c r="J22" s="37"/>
      <c r="K22" s="78">
        <f>AVERAGE(K2:K21)</f>
        <v>40.8</v>
      </c>
    </row>
    <row r="23" spans="2:10" ht="12.75">
      <c r="B23" s="39"/>
      <c r="C23" s="39"/>
      <c r="D23" s="40"/>
      <c r="E23" s="39"/>
      <c r="F23" s="39"/>
      <c r="G23" s="39"/>
      <c r="H23" s="39"/>
      <c r="I23" s="39"/>
      <c r="J23" s="39"/>
    </row>
    <row r="24" spans="2:10" ht="12.75">
      <c r="B24" s="39"/>
      <c r="C24" s="39"/>
      <c r="D24" s="40"/>
      <c r="E24" s="39"/>
      <c r="F24" s="39"/>
      <c r="G24" s="39"/>
      <c r="H24" s="39"/>
      <c r="I24" s="39"/>
      <c r="J24" s="39"/>
    </row>
    <row r="25" spans="2:10" ht="12.75">
      <c r="B25" s="39"/>
      <c r="C25" s="39"/>
      <c r="D25" s="40"/>
      <c r="E25" s="39"/>
      <c r="F25" s="39"/>
      <c r="G25" s="39"/>
      <c r="H25" s="39"/>
      <c r="I25" s="39"/>
      <c r="J25" s="39"/>
    </row>
    <row r="26" spans="2:10" ht="12.75">
      <c r="B26" s="39"/>
      <c r="C26" s="39"/>
      <c r="D26" s="40"/>
      <c r="E26" s="39"/>
      <c r="F26" s="39"/>
      <c r="G26" s="39"/>
      <c r="H26" s="39"/>
      <c r="I26" s="39"/>
      <c r="J26" s="39"/>
    </row>
    <row r="27" spans="2:10" ht="12.75">
      <c r="B27" s="39"/>
      <c r="C27" s="39"/>
      <c r="D27" s="40"/>
      <c r="E27" s="39"/>
      <c r="F27" s="39"/>
      <c r="G27" s="39"/>
      <c r="H27" s="39"/>
      <c r="I27" s="39"/>
      <c r="J27" s="39"/>
    </row>
    <row r="28" spans="2:10" ht="12.75">
      <c r="B28" s="39"/>
      <c r="C28" s="39"/>
      <c r="D28" s="40"/>
      <c r="E28" s="39"/>
      <c r="F28" s="39"/>
      <c r="G28" s="39"/>
      <c r="H28" s="39"/>
      <c r="I28" s="39"/>
      <c r="J28" s="39"/>
    </row>
    <row r="29" spans="2:10" ht="12.75">
      <c r="B29" s="39"/>
      <c r="C29" s="39"/>
      <c r="D29" s="40"/>
      <c r="E29" s="39"/>
      <c r="F29" s="39"/>
      <c r="G29" s="39"/>
      <c r="H29" s="39"/>
      <c r="I29" s="39"/>
      <c r="J29" s="39"/>
    </row>
    <row r="30" spans="2:10" ht="12.75">
      <c r="B30" s="39"/>
      <c r="C30" s="39"/>
      <c r="D30" s="40"/>
      <c r="E30" s="39"/>
      <c r="F30" s="39"/>
      <c r="G30" s="39"/>
      <c r="H30" s="39"/>
      <c r="I30" s="39"/>
      <c r="J30" s="39"/>
    </row>
    <row r="31" spans="2:10" ht="12.75">
      <c r="B31" s="39"/>
      <c r="C31" s="39"/>
      <c r="D31" s="40"/>
      <c r="E31" s="39"/>
      <c r="F31" s="39"/>
      <c r="G31" s="39"/>
      <c r="H31" s="39"/>
      <c r="I31" s="39"/>
      <c r="J31" s="39"/>
    </row>
    <row r="32" spans="2:10" ht="12.75">
      <c r="B32" s="39"/>
      <c r="C32" s="39"/>
      <c r="D32" s="40"/>
      <c r="E32" s="39"/>
      <c r="F32" s="39"/>
      <c r="G32" s="39"/>
      <c r="H32" s="39"/>
      <c r="I32" s="39"/>
      <c r="J32" s="39"/>
    </row>
    <row r="33" spans="2:10" ht="12.75">
      <c r="B33" s="39"/>
      <c r="C33" s="39"/>
      <c r="D33" s="40"/>
      <c r="E33" s="39"/>
      <c r="F33" s="39"/>
      <c r="G33" s="39"/>
      <c r="H33" s="39"/>
      <c r="I33" s="39"/>
      <c r="J33" s="39"/>
    </row>
    <row r="34" spans="2:10" ht="12.75">
      <c r="B34" s="39"/>
      <c r="C34" s="39"/>
      <c r="D34" s="40"/>
      <c r="E34" s="39"/>
      <c r="F34" s="39"/>
      <c r="G34" s="39"/>
      <c r="H34" s="39"/>
      <c r="I34" s="39"/>
      <c r="J34" s="39"/>
    </row>
    <row r="35" spans="2:10" ht="12.75">
      <c r="B35" s="39"/>
      <c r="C35" s="39"/>
      <c r="D35" s="40"/>
      <c r="E35" s="39"/>
      <c r="F35" s="39"/>
      <c r="G35" s="39"/>
      <c r="H35" s="39"/>
      <c r="I35" s="39"/>
      <c r="J35" s="39"/>
    </row>
    <row r="36" spans="2:10" ht="12.75">
      <c r="B36" s="39"/>
      <c r="C36" s="39"/>
      <c r="D36" s="40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40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40"/>
      <c r="E38" s="39"/>
      <c r="F38" s="39"/>
      <c r="G38" s="39"/>
      <c r="H38" s="39"/>
      <c r="I38" s="39"/>
      <c r="J38" s="39"/>
    </row>
    <row r="39" spans="2:10" ht="12.75">
      <c r="B39" s="39"/>
      <c r="C39" s="39"/>
      <c r="D39" s="40"/>
      <c r="E39" s="39"/>
      <c r="F39" s="39"/>
      <c r="G39" s="39"/>
      <c r="H39" s="39"/>
      <c r="I39" s="39"/>
      <c r="J39" s="39"/>
    </row>
    <row r="40" spans="2:10" ht="12.75">
      <c r="B40" s="39"/>
      <c r="C40" s="39"/>
      <c r="D40" s="40"/>
      <c r="E40" s="39"/>
      <c r="F40" s="39"/>
      <c r="G40" s="39"/>
      <c r="H40" s="39"/>
      <c r="I40" s="39"/>
      <c r="J40" s="39"/>
    </row>
    <row r="41" spans="2:10" ht="12.75">
      <c r="B41" s="39"/>
      <c r="C41" s="39"/>
      <c r="D41" s="40"/>
      <c r="E41" s="39"/>
      <c r="F41" s="39"/>
      <c r="G41" s="39"/>
      <c r="H41" s="39"/>
      <c r="I41" s="39"/>
      <c r="J41" s="39"/>
    </row>
    <row r="42" spans="2:10" ht="12.75">
      <c r="B42" s="39"/>
      <c r="C42" s="39"/>
      <c r="D42" s="40"/>
      <c r="E42" s="39"/>
      <c r="F42" s="39"/>
      <c r="G42" s="39"/>
      <c r="H42" s="39"/>
      <c r="I42" s="39"/>
      <c r="J42" s="39"/>
    </row>
    <row r="43" spans="2:10" ht="12.75">
      <c r="B43" s="39"/>
      <c r="C43" s="39"/>
      <c r="D43" s="40"/>
      <c r="E43" s="39"/>
      <c r="F43" s="39"/>
      <c r="G43" s="39"/>
      <c r="H43" s="39"/>
      <c r="I43" s="39"/>
      <c r="J43" s="39"/>
    </row>
    <row r="44" spans="2:10" ht="12.75">
      <c r="B44" s="39"/>
      <c r="C44" s="39"/>
      <c r="D44" s="40"/>
      <c r="E44" s="39"/>
      <c r="F44" s="39"/>
      <c r="G44" s="39"/>
      <c r="H44" s="39"/>
      <c r="I44" s="39"/>
      <c r="J44" s="39"/>
    </row>
    <row r="45" spans="2:10" ht="12.75">
      <c r="B45" s="39"/>
      <c r="C45" s="39"/>
      <c r="D45" s="40"/>
      <c r="E45" s="39"/>
      <c r="F45" s="39"/>
      <c r="G45" s="39"/>
      <c r="H45" s="39"/>
      <c r="I45" s="39"/>
      <c r="J45" s="39"/>
    </row>
    <row r="46" spans="2:10" ht="12.75">
      <c r="B46" s="39"/>
      <c r="C46" s="39"/>
      <c r="D46" s="40"/>
      <c r="E46" s="39"/>
      <c r="F46" s="39"/>
      <c r="G46" s="39"/>
      <c r="H46" s="39"/>
      <c r="I46" s="39"/>
      <c r="J46" s="39"/>
    </row>
    <row r="47" spans="2:10" ht="12.75">
      <c r="B47" s="39"/>
      <c r="C47" s="39"/>
      <c r="D47" s="40"/>
      <c r="E47" s="39"/>
      <c r="F47" s="39"/>
      <c r="G47" s="39"/>
      <c r="H47" s="39"/>
      <c r="I47" s="39"/>
      <c r="J47" s="39"/>
    </row>
    <row r="48" spans="2:10" ht="12.75">
      <c r="B48" s="39"/>
      <c r="C48" s="39"/>
      <c r="D48" s="40"/>
      <c r="E48" s="39"/>
      <c r="F48" s="39"/>
      <c r="G48" s="39"/>
      <c r="H48" s="39"/>
      <c r="I48" s="39"/>
      <c r="J48" s="39"/>
    </row>
    <row r="49" spans="2:10" ht="12.75">
      <c r="B49" s="39"/>
      <c r="C49" s="39"/>
      <c r="D49" s="40"/>
      <c r="E49" s="39"/>
      <c r="F49" s="39"/>
      <c r="G49" s="39"/>
      <c r="H49" s="39"/>
      <c r="I49" s="39"/>
      <c r="J49" s="39"/>
    </row>
    <row r="50" spans="2:10" ht="12.75">
      <c r="B50" s="39"/>
      <c r="C50" s="39"/>
      <c r="D50" s="40"/>
      <c r="E50" s="39"/>
      <c r="F50" s="39"/>
      <c r="G50" s="39"/>
      <c r="H50" s="39"/>
      <c r="I50" s="39"/>
      <c r="J50" s="39"/>
    </row>
    <row r="51" spans="2:10" ht="12.75">
      <c r="B51" s="39"/>
      <c r="C51" s="39"/>
      <c r="D51" s="40"/>
      <c r="E51" s="39"/>
      <c r="F51" s="39"/>
      <c r="G51" s="39"/>
      <c r="H51" s="39"/>
      <c r="I51" s="39"/>
      <c r="J51" s="39"/>
    </row>
    <row r="52" spans="2:10" ht="12.75">
      <c r="B52" s="39"/>
      <c r="C52" s="39"/>
      <c r="D52" s="40"/>
      <c r="E52" s="39"/>
      <c r="F52" s="39"/>
      <c r="G52" s="39"/>
      <c r="H52" s="39"/>
      <c r="I52" s="39"/>
      <c r="J52" s="39"/>
    </row>
    <row r="53" spans="2:10" ht="12.75">
      <c r="B53" s="39"/>
      <c r="C53" s="39"/>
      <c r="D53" s="40"/>
      <c r="E53" s="39"/>
      <c r="F53" s="39"/>
      <c r="G53" s="39"/>
      <c r="H53" s="39"/>
      <c r="I53" s="39"/>
      <c r="J53" s="39"/>
    </row>
    <row r="54" spans="2:10" ht="12.75">
      <c r="B54" s="39"/>
      <c r="C54" s="39"/>
      <c r="D54" s="40"/>
      <c r="E54" s="39"/>
      <c r="F54" s="39"/>
      <c r="G54" s="39"/>
      <c r="H54" s="39"/>
      <c r="I54" s="39"/>
      <c r="J54" s="39"/>
    </row>
    <row r="55" spans="2:10" ht="12.75">
      <c r="B55" s="39"/>
      <c r="C55" s="39"/>
      <c r="D55" s="40"/>
      <c r="E55" s="39"/>
      <c r="F55" s="39"/>
      <c r="G55" s="39"/>
      <c r="H55" s="39"/>
      <c r="I55" s="39"/>
      <c r="J55" s="3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workbookViewId="0" topLeftCell="A1">
      <pane ySplit="840" topLeftCell="BM14" activePane="topLeft" state="split"/>
      <selection pane="topLeft" activeCell="A1" sqref="A1"/>
      <selection pane="bottomLeft" activeCell="F22" sqref="F22"/>
    </sheetView>
  </sheetViews>
  <sheetFormatPr defaultColWidth="11.421875" defaultRowHeight="12.75"/>
  <cols>
    <col min="1" max="1" width="11.57421875" style="38" bestFit="1" customWidth="1"/>
    <col min="2" max="2" width="9.140625" style="33" bestFit="1" customWidth="1"/>
    <col min="3" max="3" width="9.57421875" style="33" bestFit="1" customWidth="1"/>
    <col min="4" max="4" width="5.28125" style="33" bestFit="1" customWidth="1"/>
    <col min="5" max="5" width="7.140625" style="33" bestFit="1" customWidth="1"/>
    <col min="6" max="6" width="8.140625" style="33" bestFit="1" customWidth="1"/>
    <col min="7" max="7" width="5.00390625" style="33" hidden="1" customWidth="1"/>
    <col min="8" max="9" width="8.140625" style="33" bestFit="1" customWidth="1"/>
    <col min="10" max="10" width="6.57421875" style="33" hidden="1" customWidth="1"/>
    <col min="11" max="11" width="9.140625" style="33" bestFit="1" customWidth="1"/>
    <col min="12" max="16384" width="11.421875" style="33" customWidth="1"/>
  </cols>
  <sheetData>
    <row r="1" spans="1:11" ht="39" thickBot="1">
      <c r="A1" s="41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4" t="s">
        <v>34</v>
      </c>
      <c r="J1" s="32" t="s">
        <v>6</v>
      </c>
      <c r="K1" s="79" t="s">
        <v>31</v>
      </c>
    </row>
    <row r="2" spans="1:11" ht="12.75">
      <c r="A2" s="45">
        <v>38139</v>
      </c>
      <c r="B2" s="46">
        <v>39226</v>
      </c>
      <c r="C2" s="46">
        <f>39226-38810</f>
        <v>416</v>
      </c>
      <c r="D2" s="47">
        <v>1</v>
      </c>
      <c r="E2" s="48">
        <v>55.56</v>
      </c>
      <c r="F2" s="49">
        <f aca="true" t="shared" si="0" ref="F2:F21">E2/C2*100</f>
        <v>13.355769230769232</v>
      </c>
      <c r="G2" s="49">
        <f>F22</f>
        <v>12.272509759476137</v>
      </c>
      <c r="H2" s="48">
        <v>60</v>
      </c>
      <c r="I2" s="85">
        <f aca="true" t="shared" si="1" ref="I2:I22">H2/E2</f>
        <v>1.079913606911447</v>
      </c>
      <c r="J2" s="34">
        <f>I22</f>
        <v>1.1052577573469053</v>
      </c>
      <c r="K2" s="80">
        <v>24</v>
      </c>
    </row>
    <row r="3" spans="1:11" ht="12.75">
      <c r="A3" s="50">
        <v>38153</v>
      </c>
      <c r="B3" s="51">
        <v>39626</v>
      </c>
      <c r="C3" s="51">
        <f aca="true" t="shared" si="2" ref="C3:C21">B3-B2</f>
        <v>400</v>
      </c>
      <c r="D3" s="52">
        <f aca="true" t="shared" si="3" ref="D3:D21">D2+1</f>
        <v>2</v>
      </c>
      <c r="E3" s="53">
        <v>55</v>
      </c>
      <c r="F3" s="54">
        <f t="shared" si="0"/>
        <v>13.750000000000002</v>
      </c>
      <c r="G3" s="54">
        <f>F22</f>
        <v>12.272509759476137</v>
      </c>
      <c r="H3" s="53">
        <v>59.4</v>
      </c>
      <c r="I3" s="86">
        <f t="shared" si="1"/>
        <v>1.08</v>
      </c>
      <c r="J3" s="35">
        <f>I22</f>
        <v>1.1052577573469053</v>
      </c>
      <c r="K3" s="81">
        <v>22</v>
      </c>
    </row>
    <row r="4" spans="1:11" ht="12.75">
      <c r="A4" s="50">
        <v>38169</v>
      </c>
      <c r="B4" s="51">
        <v>39977</v>
      </c>
      <c r="C4" s="51">
        <f t="shared" si="2"/>
        <v>351</v>
      </c>
      <c r="D4" s="52">
        <f t="shared" si="3"/>
        <v>3</v>
      </c>
      <c r="E4" s="53">
        <v>52</v>
      </c>
      <c r="F4" s="54">
        <f t="shared" si="0"/>
        <v>14.814814814814813</v>
      </c>
      <c r="G4" s="54">
        <f>F22</f>
        <v>12.272509759476137</v>
      </c>
      <c r="H4" s="53">
        <v>54.6</v>
      </c>
      <c r="I4" s="86">
        <f t="shared" si="1"/>
        <v>1.05</v>
      </c>
      <c r="J4" s="35">
        <f>I22</f>
        <v>1.1052577573469053</v>
      </c>
      <c r="K4" s="81">
        <v>19</v>
      </c>
    </row>
    <row r="5" spans="1:11" ht="12.75">
      <c r="A5" s="50">
        <v>38192</v>
      </c>
      <c r="B5" s="51">
        <v>40406</v>
      </c>
      <c r="C5" s="51">
        <f t="shared" si="2"/>
        <v>429</v>
      </c>
      <c r="D5" s="52">
        <f t="shared" si="3"/>
        <v>4</v>
      </c>
      <c r="E5" s="53">
        <v>54</v>
      </c>
      <c r="F5" s="54">
        <f t="shared" si="0"/>
        <v>12.587412587412588</v>
      </c>
      <c r="G5" s="54">
        <f>F22</f>
        <v>12.272509759476137</v>
      </c>
      <c r="H5" s="53">
        <v>58.32</v>
      </c>
      <c r="I5" s="86">
        <f t="shared" si="1"/>
        <v>1.08</v>
      </c>
      <c r="J5" s="35">
        <f>I22</f>
        <v>1.1052577573469053</v>
      </c>
      <c r="K5" s="81">
        <v>24</v>
      </c>
    </row>
    <row r="6" spans="1:11" ht="12.75">
      <c r="A6" s="50">
        <v>38219</v>
      </c>
      <c r="B6" s="51">
        <v>40862</v>
      </c>
      <c r="C6" s="51">
        <f t="shared" si="2"/>
        <v>456</v>
      </c>
      <c r="D6" s="52">
        <f t="shared" si="3"/>
        <v>5</v>
      </c>
      <c r="E6" s="53">
        <v>50</v>
      </c>
      <c r="F6" s="54">
        <f t="shared" si="0"/>
        <v>10.964912280701753</v>
      </c>
      <c r="G6" s="54">
        <f>F22</f>
        <v>12.272509759476137</v>
      </c>
      <c r="H6" s="53">
        <v>54</v>
      </c>
      <c r="I6" s="86">
        <f t="shared" si="1"/>
        <v>1.08</v>
      </c>
      <c r="J6" s="35">
        <f>I22</f>
        <v>1.1052577573469053</v>
      </c>
      <c r="K6" s="81">
        <v>44</v>
      </c>
    </row>
    <row r="7" spans="1:11" ht="12.75">
      <c r="A7" s="50">
        <v>38242</v>
      </c>
      <c r="B7" s="51">
        <v>41260</v>
      </c>
      <c r="C7" s="51">
        <f t="shared" si="2"/>
        <v>398</v>
      </c>
      <c r="D7" s="52">
        <f t="shared" si="3"/>
        <v>6</v>
      </c>
      <c r="E7" s="53">
        <v>51</v>
      </c>
      <c r="F7" s="54">
        <f t="shared" si="0"/>
        <v>12.814070351758794</v>
      </c>
      <c r="G7" s="54">
        <f>F22</f>
        <v>12.272509759476137</v>
      </c>
      <c r="H7" s="53">
        <v>54.57</v>
      </c>
      <c r="I7" s="86">
        <f t="shared" si="1"/>
        <v>1.07</v>
      </c>
      <c r="J7" s="35">
        <f>I22</f>
        <v>1.1052577573469053</v>
      </c>
      <c r="K7" s="81">
        <v>26</v>
      </c>
    </row>
    <row r="8" spans="1:11" ht="12.75">
      <c r="A8" s="50">
        <v>38269</v>
      </c>
      <c r="B8" s="51">
        <v>41693</v>
      </c>
      <c r="C8" s="51">
        <f t="shared" si="2"/>
        <v>433</v>
      </c>
      <c r="D8" s="52">
        <f t="shared" si="3"/>
        <v>7</v>
      </c>
      <c r="E8" s="53">
        <v>55.5</v>
      </c>
      <c r="F8" s="54">
        <f t="shared" si="0"/>
        <v>12.817551963048498</v>
      </c>
      <c r="G8" s="54">
        <f>F22</f>
        <v>12.272509759476137</v>
      </c>
      <c r="H8" s="53">
        <v>62.66</v>
      </c>
      <c r="I8" s="86">
        <f t="shared" si="1"/>
        <v>1.129009009009009</v>
      </c>
      <c r="J8" s="35">
        <f>I22</f>
        <v>1.1052577573469053</v>
      </c>
      <c r="K8" s="81">
        <v>25</v>
      </c>
    </row>
    <row r="9" spans="1:11" ht="12.75">
      <c r="A9" s="55">
        <v>38284</v>
      </c>
      <c r="B9" s="51">
        <v>42093</v>
      </c>
      <c r="C9" s="51">
        <f t="shared" si="2"/>
        <v>400</v>
      </c>
      <c r="D9" s="52">
        <f t="shared" si="3"/>
        <v>8</v>
      </c>
      <c r="E9" s="53">
        <v>50</v>
      </c>
      <c r="F9" s="54">
        <f t="shared" si="0"/>
        <v>12.5</v>
      </c>
      <c r="G9" s="54">
        <f>F22</f>
        <v>12.272509759476137</v>
      </c>
      <c r="H9" s="53">
        <v>55</v>
      </c>
      <c r="I9" s="86">
        <f t="shared" si="1"/>
        <v>1.1</v>
      </c>
      <c r="J9" s="35">
        <f>I22</f>
        <v>1.1052577573469053</v>
      </c>
      <c r="K9" s="81">
        <v>26</v>
      </c>
    </row>
    <row r="10" spans="1:11" ht="12.75">
      <c r="A10" s="55">
        <v>38312</v>
      </c>
      <c r="B10" s="51">
        <v>42529</v>
      </c>
      <c r="C10" s="51">
        <f t="shared" si="2"/>
        <v>436</v>
      </c>
      <c r="D10" s="52">
        <f t="shared" si="3"/>
        <v>9</v>
      </c>
      <c r="E10" s="53">
        <v>55.5</v>
      </c>
      <c r="F10" s="54">
        <f t="shared" si="0"/>
        <v>12.729357798165136</v>
      </c>
      <c r="G10" s="54">
        <f>F22</f>
        <v>12.272509759476137</v>
      </c>
      <c r="H10" s="53">
        <v>59.39</v>
      </c>
      <c r="I10" s="86">
        <f t="shared" si="1"/>
        <v>1.07009009009009</v>
      </c>
      <c r="J10" s="35">
        <f>I22</f>
        <v>1.1052577573469053</v>
      </c>
      <c r="K10" s="81">
        <v>28</v>
      </c>
    </row>
    <row r="11" spans="1:11" ht="12.75">
      <c r="A11" s="55">
        <v>38326</v>
      </c>
      <c r="B11" s="51">
        <v>42952</v>
      </c>
      <c r="C11" s="51">
        <f t="shared" si="2"/>
        <v>423</v>
      </c>
      <c r="D11" s="52">
        <f t="shared" si="3"/>
        <v>10</v>
      </c>
      <c r="E11" s="53">
        <v>47.5</v>
      </c>
      <c r="F11" s="54">
        <f t="shared" si="0"/>
        <v>11.229314420803782</v>
      </c>
      <c r="G11" s="54">
        <f>F22</f>
        <v>12.272509759476137</v>
      </c>
      <c r="H11" s="53">
        <v>55.86</v>
      </c>
      <c r="I11" s="86">
        <f t="shared" si="1"/>
        <v>1.176</v>
      </c>
      <c r="J11" s="35">
        <f>I22</f>
        <v>1.1052577573469053</v>
      </c>
      <c r="K11" s="81">
        <v>50</v>
      </c>
    </row>
    <row r="12" spans="1:11" ht="13.5" thickBot="1">
      <c r="A12" s="56">
        <v>38339</v>
      </c>
      <c r="B12" s="57">
        <v>43351</v>
      </c>
      <c r="C12" s="57">
        <f t="shared" si="2"/>
        <v>399</v>
      </c>
      <c r="D12" s="58">
        <f t="shared" si="3"/>
        <v>11</v>
      </c>
      <c r="E12" s="59">
        <v>50</v>
      </c>
      <c r="F12" s="60">
        <f t="shared" si="0"/>
        <v>12.531328320802004</v>
      </c>
      <c r="G12" s="60">
        <f>F22</f>
        <v>12.272509759476137</v>
      </c>
      <c r="H12" s="59">
        <v>51.25</v>
      </c>
      <c r="I12" s="87">
        <f t="shared" si="1"/>
        <v>1.025</v>
      </c>
      <c r="J12" s="36">
        <f>I22</f>
        <v>1.1052577573469053</v>
      </c>
      <c r="K12" s="154">
        <v>51</v>
      </c>
    </row>
    <row r="13" spans="1:11" ht="12.75">
      <c r="A13" s="118">
        <v>38382</v>
      </c>
      <c r="B13" s="119">
        <v>43737</v>
      </c>
      <c r="C13" s="119">
        <f t="shared" si="2"/>
        <v>386</v>
      </c>
      <c r="D13" s="120">
        <f t="shared" si="3"/>
        <v>12</v>
      </c>
      <c r="E13" s="121">
        <v>51</v>
      </c>
      <c r="F13" s="122">
        <f t="shared" si="0"/>
        <v>13.21243523316062</v>
      </c>
      <c r="G13" s="122">
        <f>F22</f>
        <v>12.272509759476137</v>
      </c>
      <c r="H13" s="121">
        <v>54.83</v>
      </c>
      <c r="I13" s="123">
        <f t="shared" si="1"/>
        <v>1.0750980392156861</v>
      </c>
      <c r="J13" s="124">
        <f>I22</f>
        <v>1.1052577573469053</v>
      </c>
      <c r="K13" s="83">
        <v>24</v>
      </c>
    </row>
    <row r="14" spans="1:11" ht="12.75">
      <c r="A14" s="55">
        <v>38397</v>
      </c>
      <c r="B14" s="51">
        <v>44023</v>
      </c>
      <c r="C14" s="51">
        <f t="shared" si="2"/>
        <v>286</v>
      </c>
      <c r="D14" s="52">
        <f t="shared" si="3"/>
        <v>13</v>
      </c>
      <c r="E14" s="53">
        <v>42</v>
      </c>
      <c r="F14" s="54">
        <f t="shared" si="0"/>
        <v>14.685314685314685</v>
      </c>
      <c r="G14" s="54">
        <f>F22</f>
        <v>12.272509759476137</v>
      </c>
      <c r="H14" s="53">
        <v>44.81</v>
      </c>
      <c r="I14" s="86">
        <f t="shared" si="1"/>
        <v>1.066904761904762</v>
      </c>
      <c r="J14" s="35">
        <f>I22</f>
        <v>1.1052577573469053</v>
      </c>
      <c r="K14" s="81">
        <v>28</v>
      </c>
    </row>
    <row r="15" spans="1:11" ht="12.75">
      <c r="A15" s="55">
        <v>38402</v>
      </c>
      <c r="B15" s="51">
        <v>44557</v>
      </c>
      <c r="C15" s="51">
        <f t="shared" si="2"/>
        <v>534</v>
      </c>
      <c r="D15" s="52">
        <f t="shared" si="3"/>
        <v>14</v>
      </c>
      <c r="E15" s="53">
        <v>52</v>
      </c>
      <c r="F15" s="54">
        <f t="shared" si="0"/>
        <v>9.737827715355806</v>
      </c>
      <c r="G15" s="54">
        <f>F22</f>
        <v>12.272509759476137</v>
      </c>
      <c r="H15" s="53">
        <v>61.36</v>
      </c>
      <c r="I15" s="86">
        <f t="shared" si="1"/>
        <v>1.18</v>
      </c>
      <c r="J15" s="35">
        <f>I22</f>
        <v>1.1052577573469053</v>
      </c>
      <c r="K15" s="81">
        <v>92</v>
      </c>
    </row>
    <row r="16" spans="1:11" ht="12.75">
      <c r="A16" s="55">
        <v>38404</v>
      </c>
      <c r="B16" s="51">
        <v>45128</v>
      </c>
      <c r="C16" s="51">
        <f t="shared" si="2"/>
        <v>571</v>
      </c>
      <c r="D16" s="52">
        <f t="shared" si="3"/>
        <v>15</v>
      </c>
      <c r="E16" s="53">
        <v>53.5</v>
      </c>
      <c r="F16" s="54">
        <f t="shared" si="0"/>
        <v>9.369527145359019</v>
      </c>
      <c r="G16" s="54">
        <f>F22</f>
        <v>12.272509759476137</v>
      </c>
      <c r="H16" s="53">
        <v>60.88</v>
      </c>
      <c r="I16" s="86">
        <f t="shared" si="1"/>
        <v>1.137943925233645</v>
      </c>
      <c r="J16" s="35">
        <f>I22</f>
        <v>1.1052577573469053</v>
      </c>
      <c r="K16" s="81">
        <v>79</v>
      </c>
    </row>
    <row r="17" spans="1:11" ht="12.75">
      <c r="A17" s="55">
        <v>38408</v>
      </c>
      <c r="B17" s="51">
        <v>45240</v>
      </c>
      <c r="C17" s="51">
        <f t="shared" si="2"/>
        <v>112</v>
      </c>
      <c r="D17" s="52">
        <f t="shared" si="3"/>
        <v>16</v>
      </c>
      <c r="E17" s="53">
        <v>15</v>
      </c>
      <c r="F17" s="54">
        <f t="shared" si="0"/>
        <v>13.392857142857142</v>
      </c>
      <c r="G17" s="54">
        <f>F22</f>
        <v>12.272509759476137</v>
      </c>
      <c r="H17" s="53">
        <v>17.07</v>
      </c>
      <c r="I17" s="86">
        <f t="shared" si="1"/>
        <v>1.1380000000000001</v>
      </c>
      <c r="J17" s="35">
        <f>I22</f>
        <v>1.1052577573469053</v>
      </c>
      <c r="K17" s="81">
        <v>34</v>
      </c>
    </row>
    <row r="18" spans="1:11" ht="12.75">
      <c r="A18" s="50">
        <v>38409</v>
      </c>
      <c r="B18" s="51">
        <v>45742</v>
      </c>
      <c r="C18" s="51">
        <f t="shared" si="2"/>
        <v>502</v>
      </c>
      <c r="D18" s="52">
        <f t="shared" si="3"/>
        <v>17</v>
      </c>
      <c r="E18" s="53">
        <v>51</v>
      </c>
      <c r="F18" s="54">
        <f t="shared" si="0"/>
        <v>10.159362549800797</v>
      </c>
      <c r="G18" s="54">
        <f>F22</f>
        <v>12.272509759476137</v>
      </c>
      <c r="H18" s="54">
        <v>60.69</v>
      </c>
      <c r="I18" s="86">
        <f t="shared" si="1"/>
        <v>1.19</v>
      </c>
      <c r="J18" s="35">
        <f>I22</f>
        <v>1.1052577573469053</v>
      </c>
      <c r="K18" s="81">
        <v>84</v>
      </c>
    </row>
    <row r="19" spans="1:11" ht="13.5" thickBot="1">
      <c r="A19" s="55">
        <v>38409</v>
      </c>
      <c r="B19" s="51">
        <v>45982</v>
      </c>
      <c r="C19" s="51">
        <f t="shared" si="2"/>
        <v>240</v>
      </c>
      <c r="D19" s="52">
        <f t="shared" si="3"/>
        <v>18</v>
      </c>
      <c r="E19" s="53">
        <v>27</v>
      </c>
      <c r="F19" s="54">
        <f t="shared" si="0"/>
        <v>11.25</v>
      </c>
      <c r="G19" s="54">
        <f>F22</f>
        <v>12.272509759476137</v>
      </c>
      <c r="H19" s="53">
        <v>29.97</v>
      </c>
      <c r="I19" s="86">
        <f t="shared" si="1"/>
        <v>1.1099999999999999</v>
      </c>
      <c r="J19" s="35">
        <f>I22</f>
        <v>1.1052577573469053</v>
      </c>
      <c r="K19" s="84">
        <v>128</v>
      </c>
    </row>
    <row r="20" spans="1:11" ht="13.5" thickTop="1">
      <c r="A20" s="55">
        <v>38423</v>
      </c>
      <c r="B20" s="51">
        <v>46400</v>
      </c>
      <c r="C20" s="51">
        <f t="shared" si="2"/>
        <v>418</v>
      </c>
      <c r="D20" s="52">
        <f t="shared" si="3"/>
        <v>19</v>
      </c>
      <c r="E20" s="53">
        <v>53</v>
      </c>
      <c r="F20" s="54">
        <f t="shared" si="0"/>
        <v>12.679425837320574</v>
      </c>
      <c r="G20" s="54">
        <f>F22</f>
        <v>12.272509759476137</v>
      </c>
      <c r="H20" s="53">
        <v>58.3</v>
      </c>
      <c r="I20" s="86">
        <f t="shared" si="1"/>
        <v>1.0999999999999999</v>
      </c>
      <c r="J20" s="35">
        <f>I22</f>
        <v>1.1052577573469053</v>
      </c>
      <c r="K20" s="83">
        <v>51</v>
      </c>
    </row>
    <row r="21" spans="1:11" ht="13.5" thickBot="1">
      <c r="A21" s="56">
        <v>38465</v>
      </c>
      <c r="B21" s="57">
        <v>46751</v>
      </c>
      <c r="C21" s="57">
        <f t="shared" si="2"/>
        <v>351</v>
      </c>
      <c r="D21" s="58">
        <f t="shared" si="3"/>
        <v>20</v>
      </c>
      <c r="E21" s="59">
        <v>54</v>
      </c>
      <c r="F21" s="60">
        <f t="shared" si="0"/>
        <v>15.384615384615385</v>
      </c>
      <c r="G21" s="60">
        <f>F22</f>
        <v>12.272509759476137</v>
      </c>
      <c r="H21" s="59">
        <v>64.18</v>
      </c>
      <c r="I21" s="87">
        <f t="shared" si="1"/>
        <v>1.1885185185185188</v>
      </c>
      <c r="J21" s="36">
        <f>I22</f>
        <v>1.1052577573469053</v>
      </c>
      <c r="K21" s="82">
        <v>22</v>
      </c>
    </row>
    <row r="22" spans="1:11" ht="13.5" thickBot="1">
      <c r="A22" s="31" t="s">
        <v>8</v>
      </c>
      <c r="B22" s="61">
        <f>B21</f>
        <v>46751</v>
      </c>
      <c r="C22" s="61">
        <f>SUM(C2:C21)+Conso2!C22</f>
        <v>22433</v>
      </c>
      <c r="D22" s="62"/>
      <c r="E22" s="63">
        <f>SUM(E2:E21)</f>
        <v>974.56</v>
      </c>
      <c r="F22" s="64">
        <f>E22/SUM(C2:C21)*100</f>
        <v>12.272509759476137</v>
      </c>
      <c r="G22" s="64"/>
      <c r="H22" s="63">
        <f>SUM(H2:H21)</f>
        <v>1077.14</v>
      </c>
      <c r="I22" s="88">
        <f t="shared" si="1"/>
        <v>1.1052577573469053</v>
      </c>
      <c r="J22" s="37"/>
      <c r="K22" s="155">
        <f>AVERAGE(K2:K21)</f>
        <v>44.05</v>
      </c>
    </row>
    <row r="23" spans="2:10" ht="12.75">
      <c r="B23" s="39"/>
      <c r="C23" s="39"/>
      <c r="D23" s="40"/>
      <c r="E23" s="39"/>
      <c r="F23" s="39"/>
      <c r="G23" s="39"/>
      <c r="H23" s="39"/>
      <c r="I23" s="39"/>
      <c r="J23" s="39"/>
    </row>
    <row r="24" spans="2:10" ht="12.75">
      <c r="B24" s="39"/>
      <c r="C24" s="39"/>
      <c r="D24" s="40"/>
      <c r="E24" s="39"/>
      <c r="F24" s="39"/>
      <c r="G24" s="39"/>
      <c r="H24" s="39"/>
      <c r="I24" s="39"/>
      <c r="J24" s="39"/>
    </row>
    <row r="25" spans="2:10" ht="12.75">
      <c r="B25" s="39"/>
      <c r="C25" s="39"/>
      <c r="D25" s="40"/>
      <c r="E25" s="39"/>
      <c r="F25" s="39"/>
      <c r="G25" s="39"/>
      <c r="H25" s="39"/>
      <c r="I25" s="39"/>
      <c r="J25" s="39"/>
    </row>
    <row r="26" spans="2:10" ht="12.75">
      <c r="B26" s="39"/>
      <c r="C26" s="39"/>
      <c r="D26" s="40"/>
      <c r="E26" s="39"/>
      <c r="F26" s="39"/>
      <c r="G26" s="39"/>
      <c r="H26" s="39"/>
      <c r="I26" s="39"/>
      <c r="J26" s="39"/>
    </row>
    <row r="27" spans="2:10" ht="12.75">
      <c r="B27" s="39"/>
      <c r="C27" s="39"/>
      <c r="D27" s="40"/>
      <c r="E27" s="39"/>
      <c r="F27" s="39"/>
      <c r="G27" s="39"/>
      <c r="H27" s="39"/>
      <c r="I27" s="39"/>
      <c r="J27" s="39"/>
    </row>
    <row r="28" spans="2:10" ht="12.75">
      <c r="B28" s="39"/>
      <c r="C28" s="39"/>
      <c r="D28" s="40"/>
      <c r="E28" s="39"/>
      <c r="F28" s="39"/>
      <c r="G28" s="39"/>
      <c r="H28" s="39"/>
      <c r="I28" s="39"/>
      <c r="J28" s="39"/>
    </row>
    <row r="29" spans="2:10" ht="12.75">
      <c r="B29" s="39"/>
      <c r="C29" s="39"/>
      <c r="D29" s="40"/>
      <c r="E29" s="39"/>
      <c r="F29" s="39"/>
      <c r="G29" s="39"/>
      <c r="H29" s="39"/>
      <c r="I29" s="39"/>
      <c r="J29" s="39"/>
    </row>
    <row r="30" spans="2:10" ht="12.75">
      <c r="B30" s="39"/>
      <c r="C30" s="39"/>
      <c r="D30" s="40"/>
      <c r="E30" s="39"/>
      <c r="F30" s="39"/>
      <c r="G30" s="39"/>
      <c r="H30" s="39"/>
      <c r="I30" s="39"/>
      <c r="J30" s="39"/>
    </row>
    <row r="31" spans="2:10" ht="12.75">
      <c r="B31" s="39"/>
      <c r="C31" s="39"/>
      <c r="D31" s="40"/>
      <c r="E31" s="39"/>
      <c r="F31" s="39"/>
      <c r="G31" s="39"/>
      <c r="H31" s="39"/>
      <c r="I31" s="39"/>
      <c r="J31" s="39"/>
    </row>
    <row r="32" spans="2:10" ht="12.75">
      <c r="B32" s="39"/>
      <c r="C32" s="39"/>
      <c r="D32" s="40"/>
      <c r="E32" s="39"/>
      <c r="F32" s="39"/>
      <c r="G32" s="39"/>
      <c r="H32" s="39"/>
      <c r="I32" s="39"/>
      <c r="J32" s="39"/>
    </row>
    <row r="33" spans="2:10" ht="12.75">
      <c r="B33" s="39"/>
      <c r="C33" s="39"/>
      <c r="D33" s="40"/>
      <c r="E33" s="39"/>
      <c r="F33" s="39"/>
      <c r="G33" s="39"/>
      <c r="H33" s="39"/>
      <c r="I33" s="39"/>
      <c r="J33" s="39"/>
    </row>
    <row r="34" spans="2:10" ht="12.75">
      <c r="B34" s="39"/>
      <c r="C34" s="39"/>
      <c r="D34" s="40"/>
      <c r="E34" s="39"/>
      <c r="F34" s="39"/>
      <c r="G34" s="39"/>
      <c r="H34" s="39"/>
      <c r="I34" s="39"/>
      <c r="J34" s="39"/>
    </row>
    <row r="35" spans="2:10" ht="12.75">
      <c r="B35" s="39"/>
      <c r="C35" s="39"/>
      <c r="D35" s="40"/>
      <c r="E35" s="39"/>
      <c r="F35" s="39"/>
      <c r="G35" s="39"/>
      <c r="H35" s="39"/>
      <c r="I35" s="39"/>
      <c r="J35" s="39"/>
    </row>
    <row r="36" spans="2:10" ht="12.75">
      <c r="B36" s="39"/>
      <c r="C36" s="39"/>
      <c r="D36" s="40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40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40"/>
      <c r="E38" s="39"/>
      <c r="F38" s="39"/>
      <c r="G38" s="39"/>
      <c r="H38" s="39"/>
      <c r="I38" s="39"/>
      <c r="J38" s="39"/>
    </row>
    <row r="39" spans="2:10" ht="12.75">
      <c r="B39" s="39"/>
      <c r="C39" s="39"/>
      <c r="D39" s="40"/>
      <c r="E39" s="39"/>
      <c r="F39" s="39"/>
      <c r="G39" s="39"/>
      <c r="H39" s="39"/>
      <c r="I39" s="39"/>
      <c r="J39" s="39"/>
    </row>
    <row r="40" spans="2:10" ht="12.75">
      <c r="B40" s="39"/>
      <c r="C40" s="39"/>
      <c r="D40" s="40"/>
      <c r="E40" s="39"/>
      <c r="F40" s="39"/>
      <c r="G40" s="39"/>
      <c r="H40" s="39"/>
      <c r="I40" s="39"/>
      <c r="J40" s="39"/>
    </row>
    <row r="41" spans="2:10" ht="12.75">
      <c r="B41" s="39"/>
      <c r="C41" s="39"/>
      <c r="D41" s="40"/>
      <c r="E41" s="39"/>
      <c r="F41" s="39"/>
      <c r="G41" s="39"/>
      <c r="H41" s="39"/>
      <c r="I41" s="39"/>
      <c r="J41" s="39"/>
    </row>
    <row r="42" spans="2:10" ht="12.75">
      <c r="B42" s="39"/>
      <c r="C42" s="39"/>
      <c r="D42" s="40"/>
      <c r="E42" s="39"/>
      <c r="F42" s="39"/>
      <c r="G42" s="39"/>
      <c r="H42" s="39"/>
      <c r="I42" s="39"/>
      <c r="J42" s="39"/>
    </row>
    <row r="43" spans="2:10" ht="12.75">
      <c r="B43" s="39"/>
      <c r="C43" s="39"/>
      <c r="D43" s="40"/>
      <c r="E43" s="39"/>
      <c r="F43" s="39"/>
      <c r="G43" s="39"/>
      <c r="H43" s="39"/>
      <c r="I43" s="39"/>
      <c r="J43" s="39"/>
    </row>
    <row r="44" spans="2:10" ht="12.75">
      <c r="B44" s="39"/>
      <c r="C44" s="39"/>
      <c r="D44" s="40"/>
      <c r="E44" s="39"/>
      <c r="F44" s="39"/>
      <c r="G44" s="39"/>
      <c r="H44" s="39"/>
      <c r="I44" s="39"/>
      <c r="J44" s="39"/>
    </row>
    <row r="45" spans="2:10" ht="12.75">
      <c r="B45" s="39"/>
      <c r="C45" s="39"/>
      <c r="D45" s="40"/>
      <c r="E45" s="39"/>
      <c r="F45" s="39"/>
      <c r="G45" s="39"/>
      <c r="H45" s="39"/>
      <c r="I45" s="39"/>
      <c r="J45" s="39"/>
    </row>
    <row r="46" spans="2:10" ht="12.75">
      <c r="B46" s="39"/>
      <c r="C46" s="39"/>
      <c r="D46" s="40"/>
      <c r="E46" s="39"/>
      <c r="F46" s="39"/>
      <c r="G46" s="39"/>
      <c r="H46" s="39"/>
      <c r="I46" s="39"/>
      <c r="J46" s="39"/>
    </row>
    <row r="47" spans="2:10" ht="12.75">
      <c r="B47" s="39"/>
      <c r="C47" s="39"/>
      <c r="D47" s="40"/>
      <c r="E47" s="39"/>
      <c r="F47" s="39"/>
      <c r="G47" s="39"/>
      <c r="H47" s="39"/>
      <c r="I47" s="39"/>
      <c r="J47" s="39"/>
    </row>
    <row r="48" spans="2:10" ht="12.75">
      <c r="B48" s="39"/>
      <c r="C48" s="39"/>
      <c r="D48" s="40"/>
      <c r="E48" s="39"/>
      <c r="F48" s="39"/>
      <c r="G48" s="39"/>
      <c r="H48" s="39"/>
      <c r="I48" s="39"/>
      <c r="J48" s="39"/>
    </row>
    <row r="49" spans="2:10" ht="12.75">
      <c r="B49" s="39"/>
      <c r="C49" s="39"/>
      <c r="D49" s="40"/>
      <c r="E49" s="39"/>
      <c r="F49" s="39"/>
      <c r="G49" s="39"/>
      <c r="H49" s="39"/>
      <c r="I49" s="39"/>
      <c r="J49" s="39"/>
    </row>
    <row r="50" spans="2:10" ht="12.75">
      <c r="B50" s="39"/>
      <c r="C50" s="39"/>
      <c r="D50" s="40"/>
      <c r="E50" s="39"/>
      <c r="F50" s="39"/>
      <c r="G50" s="39"/>
      <c r="H50" s="39"/>
      <c r="I50" s="39"/>
      <c r="J50" s="39"/>
    </row>
    <row r="51" spans="2:10" ht="12.75">
      <c r="B51" s="39"/>
      <c r="C51" s="39"/>
      <c r="D51" s="40"/>
      <c r="E51" s="39"/>
      <c r="F51" s="39"/>
      <c r="G51" s="39"/>
      <c r="H51" s="39"/>
      <c r="I51" s="39"/>
      <c r="J51" s="39"/>
    </row>
    <row r="52" spans="2:10" ht="12.75">
      <c r="B52" s="39"/>
      <c r="C52" s="39"/>
      <c r="D52" s="40"/>
      <c r="E52" s="39"/>
      <c r="F52" s="39"/>
      <c r="G52" s="39"/>
      <c r="H52" s="39"/>
      <c r="I52" s="39"/>
      <c r="J52" s="39"/>
    </row>
    <row r="53" spans="2:10" ht="12.75">
      <c r="B53" s="39"/>
      <c r="C53" s="39"/>
      <c r="D53" s="40"/>
      <c r="E53" s="39"/>
      <c r="F53" s="39"/>
      <c r="G53" s="39"/>
      <c r="H53" s="39"/>
      <c r="I53" s="39"/>
      <c r="J53" s="39"/>
    </row>
    <row r="54" spans="2:10" ht="12.75">
      <c r="B54" s="39"/>
      <c r="C54" s="39"/>
      <c r="D54" s="40"/>
      <c r="E54" s="39"/>
      <c r="F54" s="39"/>
      <c r="G54" s="39"/>
      <c r="H54" s="39"/>
      <c r="I54" s="39"/>
      <c r="J54" s="39"/>
    </row>
    <row r="55" spans="2:10" ht="12.75">
      <c r="B55" s="39"/>
      <c r="C55" s="39"/>
      <c r="D55" s="40"/>
      <c r="E55" s="39"/>
      <c r="F55" s="39"/>
      <c r="G55" s="39"/>
      <c r="H55" s="39"/>
      <c r="I55" s="39"/>
      <c r="J55" s="3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="80" zoomScaleNormal="80" workbookViewId="0" topLeftCell="A1">
      <selection activeCell="N34" sqref="N34"/>
    </sheetView>
  </sheetViews>
  <sheetFormatPr defaultColWidth="11.421875" defaultRowHeight="12.75"/>
  <cols>
    <col min="1" max="1" width="11.57421875" style="38" bestFit="1" customWidth="1"/>
    <col min="2" max="2" width="9.140625" style="33" bestFit="1" customWidth="1"/>
    <col min="3" max="3" width="9.57421875" style="33" bestFit="1" customWidth="1"/>
    <col min="4" max="4" width="5.28125" style="33" bestFit="1" customWidth="1"/>
    <col min="5" max="5" width="7.140625" style="33" bestFit="1" customWidth="1"/>
    <col min="6" max="6" width="10.7109375" style="33" bestFit="1" customWidth="1"/>
    <col min="7" max="7" width="6.00390625" style="33" hidden="1" customWidth="1"/>
    <col min="8" max="9" width="8.140625" style="33" bestFit="1" customWidth="1"/>
    <col min="10" max="10" width="6.57421875" style="33" hidden="1" customWidth="1"/>
    <col min="11" max="11" width="9.140625" style="33" bestFit="1" customWidth="1"/>
    <col min="12" max="12" width="23.7109375" style="33" bestFit="1" customWidth="1"/>
    <col min="13" max="16384" width="11.421875" style="33" customWidth="1"/>
  </cols>
  <sheetData>
    <row r="1" spans="1:11" ht="39" thickBot="1">
      <c r="A1" s="41" t="s">
        <v>0</v>
      </c>
      <c r="B1" s="42" t="s">
        <v>1</v>
      </c>
      <c r="C1" s="42" t="s">
        <v>2</v>
      </c>
      <c r="D1" s="43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4" t="s">
        <v>34</v>
      </c>
      <c r="J1" s="32" t="s">
        <v>6</v>
      </c>
      <c r="K1" s="79" t="s">
        <v>31</v>
      </c>
    </row>
    <row r="2" spans="1:11" ht="12.75">
      <c r="A2" s="45">
        <v>38475</v>
      </c>
      <c r="B2" s="46">
        <v>47205</v>
      </c>
      <c r="C2" s="46">
        <f>B2-Conso3!B21</f>
        <v>454</v>
      </c>
      <c r="D2" s="47">
        <v>1</v>
      </c>
      <c r="E2" s="48">
        <v>51</v>
      </c>
      <c r="F2" s="49">
        <f aca="true" t="shared" si="0" ref="F2:F21">E2/C2*100</f>
        <v>11.233480176211454</v>
      </c>
      <c r="G2" s="49">
        <f>F22</f>
        <v>11.888592879631872</v>
      </c>
      <c r="H2" s="48">
        <v>55.14</v>
      </c>
      <c r="I2" s="85">
        <f aca="true" t="shared" si="1" ref="I2:I22">H2/E2</f>
        <v>1.0811764705882354</v>
      </c>
      <c r="J2" s="34">
        <f>I22</f>
        <v>1.199437744458931</v>
      </c>
      <c r="K2" s="80">
        <v>58</v>
      </c>
    </row>
    <row r="3" spans="1:11" ht="12.75">
      <c r="A3" s="50">
        <v>38477</v>
      </c>
      <c r="B3" s="51">
        <v>47500</v>
      </c>
      <c r="C3" s="51">
        <f aca="true" t="shared" si="2" ref="C3:C21">B3-B2</f>
        <v>295</v>
      </c>
      <c r="D3" s="52">
        <f aca="true" t="shared" si="3" ref="D3:D21">D2+1</f>
        <v>2</v>
      </c>
      <c r="E3" s="53">
        <v>30.5</v>
      </c>
      <c r="F3" s="54">
        <f t="shared" si="0"/>
        <v>10.338983050847457</v>
      </c>
      <c r="G3" s="54">
        <f>F22</f>
        <v>11.888592879631872</v>
      </c>
      <c r="H3" s="53">
        <v>33.73</v>
      </c>
      <c r="I3" s="86">
        <f t="shared" si="1"/>
        <v>1.1059016393442622</v>
      </c>
      <c r="J3" s="35">
        <f>I22</f>
        <v>1.199437744458931</v>
      </c>
      <c r="K3" s="81">
        <v>56</v>
      </c>
    </row>
    <row r="4" spans="1:14" ht="12.75">
      <c r="A4" s="50">
        <v>38515</v>
      </c>
      <c r="B4" s="51">
        <v>48378</v>
      </c>
      <c r="C4" s="51">
        <f t="shared" si="2"/>
        <v>878</v>
      </c>
      <c r="D4" s="52">
        <f t="shared" si="3"/>
        <v>3</v>
      </c>
      <c r="E4" s="54">
        <f>58+50</f>
        <v>108</v>
      </c>
      <c r="F4" s="54">
        <f t="shared" si="0"/>
        <v>12.300683371298406</v>
      </c>
      <c r="G4" s="54">
        <f>F22</f>
        <v>11.888592879631872</v>
      </c>
      <c r="H4" s="53">
        <f>66.99+55</f>
        <v>121.99</v>
      </c>
      <c r="I4" s="86">
        <f t="shared" si="1"/>
        <v>1.129537037037037</v>
      </c>
      <c r="J4" s="35">
        <f>I22</f>
        <v>1.199437744458931</v>
      </c>
      <c r="K4" s="81">
        <v>23</v>
      </c>
      <c r="L4" s="157"/>
      <c r="M4" s="158"/>
      <c r="N4" s="156"/>
    </row>
    <row r="5" spans="1:11" ht="12.75">
      <c r="A5" s="50">
        <v>38563</v>
      </c>
      <c r="B5" s="51">
        <v>48783</v>
      </c>
      <c r="C5" s="51">
        <f t="shared" si="2"/>
        <v>405</v>
      </c>
      <c r="D5" s="52">
        <f t="shared" si="3"/>
        <v>4</v>
      </c>
      <c r="E5" s="53">
        <v>52</v>
      </c>
      <c r="F5" s="54">
        <f t="shared" si="0"/>
        <v>12.839506172839506</v>
      </c>
      <c r="G5" s="54">
        <f>F22</f>
        <v>11.888592879631872</v>
      </c>
      <c r="H5" s="53">
        <v>61.88</v>
      </c>
      <c r="I5" s="86">
        <f t="shared" si="1"/>
        <v>1.19</v>
      </c>
      <c r="J5" s="35">
        <f>I22</f>
        <v>1.199437744458931</v>
      </c>
      <c r="K5" s="81">
        <v>23</v>
      </c>
    </row>
    <row r="6" spans="1:13" ht="12.75">
      <c r="A6" s="50">
        <v>38577</v>
      </c>
      <c r="B6" s="51">
        <v>49288</v>
      </c>
      <c r="C6" s="51">
        <f t="shared" si="2"/>
        <v>505</v>
      </c>
      <c r="D6" s="52">
        <f t="shared" si="3"/>
        <v>5</v>
      </c>
      <c r="E6" s="53">
        <v>50</v>
      </c>
      <c r="F6" s="175">
        <f t="shared" si="0"/>
        <v>9.900990099009901</v>
      </c>
      <c r="G6" s="54">
        <f>F22</f>
        <v>11.888592879631872</v>
      </c>
      <c r="H6" s="53">
        <v>60.95</v>
      </c>
      <c r="I6" s="86">
        <f t="shared" si="1"/>
        <v>1.219</v>
      </c>
      <c r="J6" s="35">
        <f>I22</f>
        <v>1.199437744458931</v>
      </c>
      <c r="K6" s="81">
        <v>44</v>
      </c>
      <c r="L6" s="157" t="s">
        <v>37</v>
      </c>
      <c r="M6" s="156"/>
    </row>
    <row r="7" spans="1:13" ht="12.75">
      <c r="A7" s="50">
        <v>38601</v>
      </c>
      <c r="B7" s="51">
        <v>49721</v>
      </c>
      <c r="C7" s="51">
        <f t="shared" si="2"/>
        <v>433</v>
      </c>
      <c r="D7" s="52">
        <f t="shared" si="3"/>
        <v>6</v>
      </c>
      <c r="E7" s="53">
        <v>53</v>
      </c>
      <c r="F7" s="54">
        <f t="shared" si="0"/>
        <v>12.240184757505773</v>
      </c>
      <c r="G7" s="54">
        <f>F22</f>
        <v>11.888592879631872</v>
      </c>
      <c r="H7" s="53">
        <v>69.43</v>
      </c>
      <c r="I7" s="86">
        <f t="shared" si="1"/>
        <v>1.31</v>
      </c>
      <c r="J7" s="35">
        <f>I22</f>
        <v>1.199437744458931</v>
      </c>
      <c r="K7" s="81">
        <v>28</v>
      </c>
      <c r="L7" s="157" t="s">
        <v>38</v>
      </c>
      <c r="M7" s="156"/>
    </row>
    <row r="8" spans="1:13" ht="12.75">
      <c r="A8" s="50">
        <v>38622</v>
      </c>
      <c r="B8" s="51">
        <v>50070</v>
      </c>
      <c r="C8" s="51">
        <f t="shared" si="2"/>
        <v>349</v>
      </c>
      <c r="D8" s="52">
        <f t="shared" si="3"/>
        <v>7</v>
      </c>
      <c r="E8" s="53">
        <v>51</v>
      </c>
      <c r="F8" s="54">
        <f t="shared" si="0"/>
        <v>14.613180515759314</v>
      </c>
      <c r="G8" s="54">
        <f>F22</f>
        <v>11.888592879631872</v>
      </c>
      <c r="H8" s="53">
        <v>63.75</v>
      </c>
      <c r="I8" s="86">
        <f t="shared" si="1"/>
        <v>1.25</v>
      </c>
      <c r="J8" s="35">
        <f>I22</f>
        <v>1.199437744458931</v>
      </c>
      <c r="K8" s="81">
        <v>19</v>
      </c>
      <c r="L8" s="157" t="s">
        <v>44</v>
      </c>
      <c r="M8" s="156"/>
    </row>
    <row r="9" spans="1:12" ht="12.75">
      <c r="A9" s="55">
        <v>38646</v>
      </c>
      <c r="B9" s="51">
        <v>50377</v>
      </c>
      <c r="C9" s="51">
        <f t="shared" si="2"/>
        <v>307</v>
      </c>
      <c r="D9" s="52">
        <f t="shared" si="3"/>
        <v>8</v>
      </c>
      <c r="E9" s="53">
        <v>49.5</v>
      </c>
      <c r="F9" s="54">
        <f t="shared" si="0"/>
        <v>16.123778501628664</v>
      </c>
      <c r="G9" s="54">
        <f>F22</f>
        <v>11.888592879631872</v>
      </c>
      <c r="H9" s="53">
        <v>60.39</v>
      </c>
      <c r="I9" s="86">
        <f t="shared" si="1"/>
        <v>1.22</v>
      </c>
      <c r="J9" s="35">
        <f>I22</f>
        <v>1.199437744458931</v>
      </c>
      <c r="K9" s="81">
        <v>18</v>
      </c>
      <c r="L9" s="33" t="s">
        <v>39</v>
      </c>
    </row>
    <row r="10" spans="1:12" ht="12.75">
      <c r="A10" s="55">
        <v>38650</v>
      </c>
      <c r="B10" s="51">
        <v>50887</v>
      </c>
      <c r="C10" s="51">
        <f t="shared" si="2"/>
        <v>510</v>
      </c>
      <c r="D10" s="52">
        <f t="shared" si="3"/>
        <v>9</v>
      </c>
      <c r="E10" s="53">
        <v>51</v>
      </c>
      <c r="F10" s="54">
        <f t="shared" si="0"/>
        <v>10</v>
      </c>
      <c r="G10" s="54">
        <f>F22</f>
        <v>11.888592879631872</v>
      </c>
      <c r="H10" s="53">
        <v>68.6</v>
      </c>
      <c r="I10" s="86">
        <f t="shared" si="1"/>
        <v>1.3450980392156862</v>
      </c>
      <c r="J10" s="35">
        <f>I22</f>
        <v>1.199437744458931</v>
      </c>
      <c r="K10" s="81">
        <v>80</v>
      </c>
      <c r="L10" s="33" t="s">
        <v>41</v>
      </c>
    </row>
    <row r="11" spans="1:12" ht="12.75">
      <c r="A11" s="55">
        <v>38652</v>
      </c>
      <c r="B11" s="51">
        <v>51169</v>
      </c>
      <c r="C11" s="51">
        <f t="shared" si="2"/>
        <v>282</v>
      </c>
      <c r="D11" s="52">
        <f t="shared" si="3"/>
        <v>10</v>
      </c>
      <c r="E11" s="53">
        <v>28.5</v>
      </c>
      <c r="F11" s="54">
        <f t="shared" si="0"/>
        <v>10.106382978723403</v>
      </c>
      <c r="G11" s="54">
        <f>F22</f>
        <v>11.888592879631872</v>
      </c>
      <c r="H11" s="53">
        <v>33.03</v>
      </c>
      <c r="I11" s="86">
        <f t="shared" si="1"/>
        <v>1.1589473684210527</v>
      </c>
      <c r="J11" s="35">
        <f>I22</f>
        <v>1.199437744458931</v>
      </c>
      <c r="K11" s="81">
        <v>79</v>
      </c>
      <c r="L11" s="33" t="s">
        <v>40</v>
      </c>
    </row>
    <row r="12" spans="1:12" ht="12.75">
      <c r="A12" s="55">
        <v>38675</v>
      </c>
      <c r="B12" s="51">
        <v>51560</v>
      </c>
      <c r="C12" s="51">
        <f t="shared" si="2"/>
        <v>391</v>
      </c>
      <c r="D12" s="52">
        <f t="shared" si="3"/>
        <v>11</v>
      </c>
      <c r="E12" s="53">
        <v>55.01</v>
      </c>
      <c r="F12" s="54">
        <f t="shared" si="0"/>
        <v>14.069053708439897</v>
      </c>
      <c r="G12" s="54">
        <f>F22</f>
        <v>11.888592879631872</v>
      </c>
      <c r="H12" s="53">
        <v>62.66</v>
      </c>
      <c r="I12" s="86">
        <f t="shared" si="1"/>
        <v>1.1390656244319215</v>
      </c>
      <c r="J12" s="35">
        <f>I22</f>
        <v>1.199437744458931</v>
      </c>
      <c r="K12" s="81">
        <v>32</v>
      </c>
      <c r="L12" s="33" t="s">
        <v>42</v>
      </c>
    </row>
    <row r="13" spans="1:11" ht="12.75">
      <c r="A13" s="55">
        <v>38698</v>
      </c>
      <c r="B13" s="51">
        <v>51885</v>
      </c>
      <c r="C13" s="51">
        <f t="shared" si="2"/>
        <v>325</v>
      </c>
      <c r="D13" s="52">
        <f t="shared" si="3"/>
        <v>12</v>
      </c>
      <c r="E13" s="53">
        <v>50</v>
      </c>
      <c r="F13" s="54">
        <f t="shared" si="0"/>
        <v>15.384615384615385</v>
      </c>
      <c r="G13" s="54">
        <f>F22</f>
        <v>11.888592879631872</v>
      </c>
      <c r="H13" s="53">
        <v>57.5</v>
      </c>
      <c r="I13" s="86">
        <f t="shared" si="1"/>
        <v>1.15</v>
      </c>
      <c r="J13" s="35">
        <f>I22</f>
        <v>1.199437744458931</v>
      </c>
      <c r="K13" s="81">
        <v>17</v>
      </c>
    </row>
    <row r="14" spans="1:12" ht="12.75">
      <c r="A14" s="55">
        <v>38703</v>
      </c>
      <c r="B14" s="51">
        <v>52197</v>
      </c>
      <c r="C14" s="51">
        <f t="shared" si="2"/>
        <v>312</v>
      </c>
      <c r="D14" s="52">
        <f t="shared" si="3"/>
        <v>13</v>
      </c>
      <c r="E14" s="53">
        <v>38</v>
      </c>
      <c r="F14" s="54">
        <f t="shared" si="0"/>
        <v>12.179487179487179</v>
      </c>
      <c r="G14" s="54">
        <f>F22</f>
        <v>11.888592879631872</v>
      </c>
      <c r="H14" s="53">
        <v>45.49</v>
      </c>
      <c r="I14" s="86">
        <f t="shared" si="1"/>
        <v>1.197105263157895</v>
      </c>
      <c r="J14" s="35">
        <f>I22</f>
        <v>1.199437744458931</v>
      </c>
      <c r="K14" s="81">
        <v>68</v>
      </c>
      <c r="L14" s="176" t="s">
        <v>43</v>
      </c>
    </row>
    <row r="15" spans="1:12" ht="12.75">
      <c r="A15" s="55">
        <v>38706</v>
      </c>
      <c r="B15" s="51">
        <v>52707</v>
      </c>
      <c r="C15" s="51">
        <f t="shared" si="2"/>
        <v>510</v>
      </c>
      <c r="D15" s="52">
        <f t="shared" si="3"/>
        <v>14</v>
      </c>
      <c r="E15" s="53">
        <v>50</v>
      </c>
      <c r="F15" s="175">
        <f t="shared" si="0"/>
        <v>9.803921568627452</v>
      </c>
      <c r="G15" s="54">
        <f>F22</f>
        <v>11.888592879631872</v>
      </c>
      <c r="H15" s="53">
        <v>61.15</v>
      </c>
      <c r="I15" s="86">
        <f t="shared" si="1"/>
        <v>1.2229999999999999</v>
      </c>
      <c r="J15" s="35">
        <f>I22</f>
        <v>1.199437744458931</v>
      </c>
      <c r="K15" s="81">
        <v>65</v>
      </c>
      <c r="L15" s="177"/>
    </row>
    <row r="16" spans="1:12" ht="12.75">
      <c r="A16" s="55">
        <v>38709</v>
      </c>
      <c r="B16" s="51">
        <v>52955</v>
      </c>
      <c r="C16" s="51">
        <f t="shared" si="2"/>
        <v>248</v>
      </c>
      <c r="D16" s="52">
        <f t="shared" si="3"/>
        <v>15</v>
      </c>
      <c r="E16" s="53">
        <v>26.25</v>
      </c>
      <c r="F16" s="54">
        <f t="shared" si="0"/>
        <v>10.58467741935484</v>
      </c>
      <c r="G16" s="54">
        <f>F22</f>
        <v>11.888592879631872</v>
      </c>
      <c r="H16" s="53">
        <v>31.71</v>
      </c>
      <c r="I16" s="86">
        <f t="shared" si="1"/>
        <v>1.208</v>
      </c>
      <c r="J16" s="35">
        <f>I22</f>
        <v>1.199437744458931</v>
      </c>
      <c r="K16" s="81">
        <v>47</v>
      </c>
      <c r="L16" s="177"/>
    </row>
    <row r="17" spans="1:12" ht="13.5" thickBot="1">
      <c r="A17" s="179">
        <v>38712</v>
      </c>
      <c r="B17" s="180">
        <v>53493</v>
      </c>
      <c r="C17" s="180">
        <f t="shared" si="2"/>
        <v>538</v>
      </c>
      <c r="D17" s="181">
        <f t="shared" si="3"/>
        <v>16</v>
      </c>
      <c r="E17" s="182">
        <v>52.5</v>
      </c>
      <c r="F17" s="183">
        <f t="shared" si="0"/>
        <v>9.758364312267657</v>
      </c>
      <c r="G17" s="184">
        <f>F22</f>
        <v>11.888592879631872</v>
      </c>
      <c r="H17" s="182">
        <v>60.9</v>
      </c>
      <c r="I17" s="185">
        <f t="shared" si="1"/>
        <v>1.16</v>
      </c>
      <c r="J17" s="186">
        <f>I22</f>
        <v>1.199437744458931</v>
      </c>
      <c r="K17" s="84">
        <v>97</v>
      </c>
      <c r="L17" s="177"/>
    </row>
    <row r="18" spans="1:11" ht="13.5" thickTop="1">
      <c r="A18" s="178">
        <v>38732</v>
      </c>
      <c r="B18" s="119">
        <v>53861</v>
      </c>
      <c r="C18" s="119">
        <f t="shared" si="2"/>
        <v>368</v>
      </c>
      <c r="D18" s="120">
        <f t="shared" si="3"/>
        <v>17</v>
      </c>
      <c r="E18" s="121">
        <v>55</v>
      </c>
      <c r="F18" s="122">
        <f t="shared" si="0"/>
        <v>14.945652173913043</v>
      </c>
      <c r="G18" s="122">
        <f>F22</f>
        <v>11.888592879631872</v>
      </c>
      <c r="H18" s="122">
        <v>65.51</v>
      </c>
      <c r="I18" s="123">
        <f t="shared" si="1"/>
        <v>1.1910909090909092</v>
      </c>
      <c r="J18" s="124">
        <f>I22</f>
        <v>1.199437744458931</v>
      </c>
      <c r="K18" s="83">
        <v>22</v>
      </c>
    </row>
    <row r="19" spans="1:11" ht="13.5" thickBot="1">
      <c r="A19" s="55">
        <v>38751</v>
      </c>
      <c r="B19" s="51">
        <v>54207</v>
      </c>
      <c r="C19" s="51">
        <f t="shared" si="2"/>
        <v>346</v>
      </c>
      <c r="D19" s="52">
        <f t="shared" si="3"/>
        <v>18</v>
      </c>
      <c r="E19" s="53">
        <v>49.5</v>
      </c>
      <c r="F19" s="54">
        <f t="shared" si="0"/>
        <v>14.30635838150289</v>
      </c>
      <c r="G19" s="54">
        <f>F22</f>
        <v>11.888592879631872</v>
      </c>
      <c r="H19" s="53">
        <v>60.39</v>
      </c>
      <c r="I19" s="86">
        <f t="shared" si="1"/>
        <v>1.22</v>
      </c>
      <c r="J19" s="35">
        <f>I22</f>
        <v>1.199437744458931</v>
      </c>
      <c r="K19" s="84">
        <v>21</v>
      </c>
    </row>
    <row r="20" spans="1:11" ht="13.5" thickTop="1">
      <c r="A20" s="55">
        <v>38752</v>
      </c>
      <c r="B20" s="51">
        <v>54469</v>
      </c>
      <c r="C20" s="51">
        <f t="shared" si="2"/>
        <v>262</v>
      </c>
      <c r="D20" s="52">
        <f t="shared" si="3"/>
        <v>19</v>
      </c>
      <c r="E20" s="53">
        <v>29.5</v>
      </c>
      <c r="F20" s="54">
        <f t="shared" si="0"/>
        <v>11.259541984732824</v>
      </c>
      <c r="G20" s="54">
        <f>F22</f>
        <v>11.888592879631872</v>
      </c>
      <c r="H20" s="53">
        <v>37.44</v>
      </c>
      <c r="I20" s="86">
        <f t="shared" si="1"/>
        <v>1.2691525423728813</v>
      </c>
      <c r="J20" s="35">
        <f>I22</f>
        <v>1.199437744458931</v>
      </c>
      <c r="K20" s="83">
        <v>50</v>
      </c>
    </row>
    <row r="21" spans="1:11" ht="13.5" thickBot="1">
      <c r="A21" s="56">
        <v>38759</v>
      </c>
      <c r="B21" s="57">
        <v>55009</v>
      </c>
      <c r="C21" s="57">
        <f t="shared" si="2"/>
        <v>540</v>
      </c>
      <c r="D21" s="58">
        <f t="shared" si="3"/>
        <v>20</v>
      </c>
      <c r="E21" s="59">
        <v>51.5</v>
      </c>
      <c r="F21" s="187">
        <f t="shared" si="0"/>
        <v>9.537037037037036</v>
      </c>
      <c r="G21" s="60">
        <f>F22</f>
        <v>11.888592879631872</v>
      </c>
      <c r="H21" s="59">
        <v>65.92</v>
      </c>
      <c r="I21" s="87">
        <f t="shared" si="1"/>
        <v>1.28</v>
      </c>
      <c r="J21" s="36">
        <f>I22</f>
        <v>1.199437744458931</v>
      </c>
      <c r="K21" s="82">
        <v>88</v>
      </c>
    </row>
    <row r="22" spans="1:11" ht="13.5" thickBot="1">
      <c r="A22" s="31" t="s">
        <v>8</v>
      </c>
      <c r="B22" s="61">
        <f>B21</f>
        <v>55009</v>
      </c>
      <c r="C22" s="61">
        <f>SUM(C2:C21)+Conso3!C22</f>
        <v>30691</v>
      </c>
      <c r="D22" s="62"/>
      <c r="E22" s="63">
        <f>SUM(E2:E21)</f>
        <v>981.76</v>
      </c>
      <c r="F22" s="64">
        <f>E22/SUM(C2:C21)*100</f>
        <v>11.888592879631872</v>
      </c>
      <c r="G22" s="64"/>
      <c r="H22" s="63">
        <f>SUM(H2:H21)</f>
        <v>1177.5600000000002</v>
      </c>
      <c r="I22" s="88">
        <f t="shared" si="1"/>
        <v>1.199437744458931</v>
      </c>
      <c r="J22" s="37"/>
      <c r="K22" s="78">
        <f>AVERAGE(K2:K21)</f>
        <v>46.75</v>
      </c>
    </row>
    <row r="23" spans="2:10" ht="12.75">
      <c r="B23" s="39"/>
      <c r="C23" s="39"/>
      <c r="D23" s="40"/>
      <c r="E23" s="39"/>
      <c r="F23" s="39"/>
      <c r="G23" s="39"/>
      <c r="H23" s="39"/>
      <c r="I23" s="39"/>
      <c r="J23" s="39"/>
    </row>
    <row r="24" spans="2:10" ht="12.75">
      <c r="B24" s="39"/>
      <c r="C24" s="39"/>
      <c r="D24" s="40"/>
      <c r="E24" s="39"/>
      <c r="F24" s="39"/>
      <c r="G24" s="39"/>
      <c r="H24" s="39"/>
      <c r="I24" s="39"/>
      <c r="J24" s="39"/>
    </row>
    <row r="25" spans="2:10" ht="12.75">
      <c r="B25" s="39"/>
      <c r="C25" s="39"/>
      <c r="D25" s="40"/>
      <c r="E25" s="39"/>
      <c r="F25" s="39"/>
      <c r="G25" s="39"/>
      <c r="H25" s="39"/>
      <c r="I25" s="39"/>
      <c r="J25" s="39"/>
    </row>
    <row r="26" spans="2:10" ht="12.75">
      <c r="B26" s="39"/>
      <c r="C26" s="39"/>
      <c r="D26" s="40"/>
      <c r="E26" s="39"/>
      <c r="F26" s="39"/>
      <c r="G26" s="39"/>
      <c r="H26" s="39"/>
      <c r="I26" s="39"/>
      <c r="J26" s="39"/>
    </row>
    <row r="27" spans="2:10" ht="12.75">
      <c r="B27" s="39"/>
      <c r="C27" s="39"/>
      <c r="D27" s="40"/>
      <c r="E27" s="39"/>
      <c r="F27" s="39"/>
      <c r="G27" s="39"/>
      <c r="H27" s="39"/>
      <c r="I27" s="39"/>
      <c r="J27" s="39"/>
    </row>
    <row r="28" spans="2:10" ht="12.75">
      <c r="B28" s="39"/>
      <c r="C28" s="39"/>
      <c r="D28" s="40"/>
      <c r="E28" s="39"/>
      <c r="F28" s="39"/>
      <c r="G28" s="39"/>
      <c r="H28" s="39"/>
      <c r="I28" s="39"/>
      <c r="J28" s="39"/>
    </row>
    <row r="29" spans="2:10" ht="12.75">
      <c r="B29" s="39"/>
      <c r="C29" s="39"/>
      <c r="D29" s="40"/>
      <c r="E29" s="39"/>
      <c r="F29" s="39"/>
      <c r="G29" s="39"/>
      <c r="H29" s="39"/>
      <c r="I29" s="39"/>
      <c r="J29" s="39"/>
    </row>
    <row r="30" spans="2:10" ht="12.75">
      <c r="B30" s="39"/>
      <c r="C30" s="39"/>
      <c r="D30" s="40"/>
      <c r="E30" s="39"/>
      <c r="F30" s="39"/>
      <c r="G30" s="39"/>
      <c r="H30" s="39"/>
      <c r="I30" s="39"/>
      <c r="J30" s="39"/>
    </row>
    <row r="31" spans="2:10" ht="12.75">
      <c r="B31" s="39"/>
      <c r="C31" s="39"/>
      <c r="D31" s="40"/>
      <c r="E31" s="39"/>
      <c r="F31" s="39"/>
      <c r="G31" s="39"/>
      <c r="H31" s="39"/>
      <c r="I31" s="39"/>
      <c r="J31" s="39"/>
    </row>
    <row r="32" spans="2:10" ht="12.75">
      <c r="B32" s="39"/>
      <c r="C32" s="39"/>
      <c r="D32" s="40"/>
      <c r="E32" s="39"/>
      <c r="F32" s="39"/>
      <c r="G32" s="39"/>
      <c r="H32" s="39"/>
      <c r="I32" s="39"/>
      <c r="J32" s="39"/>
    </row>
    <row r="33" spans="2:10" ht="12.75">
      <c r="B33" s="39"/>
      <c r="C33" s="39"/>
      <c r="D33" s="40"/>
      <c r="E33" s="39"/>
      <c r="F33" s="39"/>
      <c r="G33" s="39"/>
      <c r="H33" s="39"/>
      <c r="I33" s="39"/>
      <c r="J33" s="39"/>
    </row>
    <row r="34" spans="2:10" ht="12.75">
      <c r="B34" s="39"/>
      <c r="C34" s="39"/>
      <c r="D34" s="40"/>
      <c r="E34" s="39"/>
      <c r="F34" s="39"/>
      <c r="G34" s="39"/>
      <c r="H34" s="39"/>
      <c r="I34" s="39"/>
      <c r="J34" s="39"/>
    </row>
    <row r="35" spans="2:10" ht="12.75">
      <c r="B35" s="39"/>
      <c r="C35" s="39"/>
      <c r="D35" s="40"/>
      <c r="E35" s="39"/>
      <c r="F35" s="39"/>
      <c r="G35" s="39"/>
      <c r="H35" s="39"/>
      <c r="I35" s="39"/>
      <c r="J35" s="39"/>
    </row>
    <row r="36" spans="2:10" ht="12.75">
      <c r="B36" s="39"/>
      <c r="C36" s="39"/>
      <c r="D36" s="40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40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40"/>
      <c r="E38" s="39"/>
      <c r="F38" s="39"/>
      <c r="G38" s="39"/>
      <c r="H38" s="39"/>
      <c r="I38" s="39"/>
      <c r="J38" s="39"/>
    </row>
    <row r="39" spans="2:10" ht="12.75">
      <c r="B39" s="39"/>
      <c r="C39" s="39"/>
      <c r="D39" s="40"/>
      <c r="E39" s="39"/>
      <c r="F39" s="39"/>
      <c r="G39" s="39"/>
      <c r="H39" s="39"/>
      <c r="I39" s="39"/>
      <c r="J39" s="39"/>
    </row>
    <row r="40" spans="2:10" ht="12.75">
      <c r="B40" s="39"/>
      <c r="C40" s="39"/>
      <c r="D40" s="40"/>
      <c r="E40" s="39"/>
      <c r="F40" s="39"/>
      <c r="G40" s="39"/>
      <c r="H40" s="39"/>
      <c r="I40" s="39"/>
      <c r="J40" s="39"/>
    </row>
    <row r="41" spans="2:10" ht="12.75">
      <c r="B41" s="39"/>
      <c r="C41" s="39"/>
      <c r="D41" s="40"/>
      <c r="E41" s="39"/>
      <c r="F41" s="39"/>
      <c r="G41" s="39"/>
      <c r="H41" s="39"/>
      <c r="I41" s="39"/>
      <c r="J41" s="39"/>
    </row>
    <row r="42" spans="2:10" ht="12.75">
      <c r="B42" s="39"/>
      <c r="C42" s="39"/>
      <c r="D42" s="40"/>
      <c r="E42" s="39"/>
      <c r="F42" s="39"/>
      <c r="G42" s="39"/>
      <c r="H42" s="39"/>
      <c r="I42" s="39"/>
      <c r="J42" s="39"/>
    </row>
    <row r="43" spans="2:10" ht="12.75">
      <c r="B43" s="39"/>
      <c r="C43" s="39"/>
      <c r="D43" s="40"/>
      <c r="E43" s="39"/>
      <c r="F43" s="39"/>
      <c r="G43" s="39"/>
      <c r="H43" s="39"/>
      <c r="I43" s="39"/>
      <c r="J43" s="39"/>
    </row>
    <row r="44" spans="2:10" ht="12.75">
      <c r="B44" s="39"/>
      <c r="C44" s="39"/>
      <c r="D44" s="40"/>
      <c r="E44" s="39"/>
      <c r="F44" s="39"/>
      <c r="G44" s="39"/>
      <c r="H44" s="39"/>
      <c r="I44" s="39"/>
      <c r="J44" s="39"/>
    </row>
    <row r="45" spans="2:10" ht="12.75">
      <c r="B45" s="39"/>
      <c r="C45" s="39"/>
      <c r="D45" s="40"/>
      <c r="E45" s="39"/>
      <c r="F45" s="39"/>
      <c r="G45" s="39"/>
      <c r="H45" s="39"/>
      <c r="I45" s="39"/>
      <c r="J45" s="39"/>
    </row>
    <row r="46" spans="2:10" ht="12.75">
      <c r="B46" s="39"/>
      <c r="C46" s="39"/>
      <c r="D46" s="40"/>
      <c r="E46" s="39"/>
      <c r="F46" s="39"/>
      <c r="G46" s="39"/>
      <c r="H46" s="39"/>
      <c r="I46" s="39"/>
      <c r="J46" s="39"/>
    </row>
    <row r="47" spans="2:10" ht="12.75">
      <c r="B47" s="39"/>
      <c r="C47" s="39"/>
      <c r="D47" s="40"/>
      <c r="E47" s="39"/>
      <c r="F47" s="39"/>
      <c r="G47" s="39"/>
      <c r="H47" s="39"/>
      <c r="I47" s="39"/>
      <c r="J47" s="39"/>
    </row>
    <row r="48" spans="2:10" ht="12.75">
      <c r="B48" s="39"/>
      <c r="C48" s="39"/>
      <c r="D48" s="40"/>
      <c r="E48" s="39"/>
      <c r="F48" s="39"/>
      <c r="G48" s="39"/>
      <c r="H48" s="39"/>
      <c r="I48" s="39"/>
      <c r="J48" s="39"/>
    </row>
    <row r="49" spans="2:10" ht="12.75">
      <c r="B49" s="39"/>
      <c r="C49" s="39"/>
      <c r="D49" s="40"/>
      <c r="E49" s="39"/>
      <c r="F49" s="39"/>
      <c r="G49" s="39"/>
      <c r="H49" s="39"/>
      <c r="I49" s="39"/>
      <c r="J49" s="39"/>
    </row>
    <row r="50" spans="2:10" ht="12.75">
      <c r="B50" s="39"/>
      <c r="C50" s="39"/>
      <c r="D50" s="40"/>
      <c r="E50" s="39"/>
      <c r="F50" s="39"/>
      <c r="G50" s="39"/>
      <c r="H50" s="39"/>
      <c r="I50" s="39"/>
      <c r="J50" s="39"/>
    </row>
    <row r="51" spans="2:10" ht="12.75">
      <c r="B51" s="39"/>
      <c r="C51" s="39"/>
      <c r="D51" s="40"/>
      <c r="E51" s="39"/>
      <c r="F51" s="39"/>
      <c r="G51" s="39"/>
      <c r="H51" s="39"/>
      <c r="I51" s="39"/>
      <c r="J51" s="39"/>
    </row>
    <row r="52" spans="2:10" ht="12.75">
      <c r="B52" s="39"/>
      <c r="C52" s="39"/>
      <c r="D52" s="40"/>
      <c r="E52" s="39"/>
      <c r="F52" s="39"/>
      <c r="G52" s="39"/>
      <c r="H52" s="39"/>
      <c r="I52" s="39"/>
      <c r="J52" s="39"/>
    </row>
    <row r="53" spans="2:10" ht="12.75">
      <c r="B53" s="39"/>
      <c r="C53" s="39"/>
      <c r="D53" s="40"/>
      <c r="E53" s="39"/>
      <c r="F53" s="39"/>
      <c r="G53" s="39"/>
      <c r="H53" s="39"/>
      <c r="I53" s="39"/>
      <c r="J53" s="39"/>
    </row>
    <row r="54" spans="2:10" ht="12.75">
      <c r="B54" s="39"/>
      <c r="C54" s="39"/>
      <c r="D54" s="40"/>
      <c r="E54" s="39"/>
      <c r="F54" s="39"/>
      <c r="G54" s="39"/>
      <c r="H54" s="39"/>
      <c r="I54" s="39"/>
      <c r="J54" s="39"/>
    </row>
    <row r="55" spans="2:10" ht="12.75">
      <c r="B55" s="39"/>
      <c r="C55" s="39"/>
      <c r="D55" s="40"/>
      <c r="E55" s="39"/>
      <c r="F55" s="39"/>
      <c r="G55" s="39"/>
      <c r="H55" s="39"/>
      <c r="I55" s="39"/>
      <c r="J55" s="39"/>
    </row>
  </sheetData>
  <mergeCells count="1">
    <mergeCell ref="L14:L17"/>
  </mergeCells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workbookViewId="0" topLeftCell="A1">
      <pane ySplit="2520" topLeftCell="BM22" activePane="topLeft" state="split"/>
      <selection pane="topLeft" activeCell="A3" sqref="A3"/>
      <selection pane="bottomLeft" activeCell="A22" sqref="A22"/>
    </sheetView>
  </sheetViews>
  <sheetFormatPr defaultColWidth="11.421875" defaultRowHeight="12.75"/>
  <cols>
    <col min="1" max="1" width="11.57421875" style="38" bestFit="1" customWidth="1"/>
    <col min="2" max="2" width="9.140625" style="33" bestFit="1" customWidth="1"/>
    <col min="3" max="3" width="9.57421875" style="33" bestFit="1" customWidth="1"/>
    <col min="4" max="4" width="5.28125" style="33" bestFit="1" customWidth="1"/>
    <col min="5" max="5" width="7.140625" style="33" bestFit="1" customWidth="1"/>
    <col min="6" max="6" width="10.7109375" style="33" bestFit="1" customWidth="1"/>
    <col min="7" max="7" width="6.00390625" style="33" hidden="1" customWidth="1"/>
    <col min="8" max="9" width="8.140625" style="33" bestFit="1" customWidth="1"/>
    <col min="10" max="10" width="6.57421875" style="33" hidden="1" customWidth="1"/>
    <col min="11" max="11" width="9.140625" style="33" bestFit="1" customWidth="1"/>
    <col min="12" max="16384" width="11.421875" style="33" customWidth="1"/>
  </cols>
  <sheetData>
    <row r="1" spans="1:11" ht="39" thickBot="1">
      <c r="A1" s="201" t="s">
        <v>0</v>
      </c>
      <c r="B1" s="202" t="s">
        <v>1</v>
      </c>
      <c r="C1" s="202" t="s">
        <v>2</v>
      </c>
      <c r="D1" s="203" t="s">
        <v>3</v>
      </c>
      <c r="E1" s="202" t="s">
        <v>4</v>
      </c>
      <c r="F1" s="202" t="s">
        <v>5</v>
      </c>
      <c r="G1" s="202" t="s">
        <v>6</v>
      </c>
      <c r="H1" s="202" t="s">
        <v>7</v>
      </c>
      <c r="I1" s="202" t="s">
        <v>34</v>
      </c>
      <c r="J1" s="204" t="s">
        <v>6</v>
      </c>
      <c r="K1" s="205" t="s">
        <v>31</v>
      </c>
    </row>
    <row r="2" spans="1:11" ht="12.75">
      <c r="A2" s="178">
        <v>38759</v>
      </c>
      <c r="B2" s="119">
        <v>55469</v>
      </c>
      <c r="C2" s="119">
        <f>B2-Conso4!B21</f>
        <v>460</v>
      </c>
      <c r="D2" s="120">
        <v>1</v>
      </c>
      <c r="E2" s="121">
        <v>49.5</v>
      </c>
      <c r="F2" s="122">
        <f aca="true" t="shared" si="0" ref="F2:F21">E2/C2*100</f>
        <v>10.760869565217392</v>
      </c>
      <c r="G2" s="122">
        <f>F22</f>
        <v>10.760869565217392</v>
      </c>
      <c r="H2" s="121">
        <v>60.34</v>
      </c>
      <c r="I2" s="198">
        <f aca="true" t="shared" si="1" ref="I2:I22">H2/E2</f>
        <v>1.218989898989899</v>
      </c>
      <c r="J2" s="199">
        <f>I22</f>
        <v>1.218989898989899</v>
      </c>
      <c r="K2" s="200">
        <v>112</v>
      </c>
    </row>
    <row r="3" spans="1:11" ht="12.75">
      <c r="A3" s="50"/>
      <c r="B3" s="51"/>
      <c r="C3" s="51">
        <v>0</v>
      </c>
      <c r="D3" s="52">
        <v>2</v>
      </c>
      <c r="E3" s="53"/>
      <c r="F3" s="54" t="e">
        <f t="shared" si="0"/>
        <v>#DIV/0!</v>
      </c>
      <c r="G3" s="54">
        <f>F22</f>
        <v>10.760869565217392</v>
      </c>
      <c r="H3" s="53"/>
      <c r="I3" s="195" t="e">
        <f t="shared" si="1"/>
        <v>#DIV/0!</v>
      </c>
      <c r="J3" s="196">
        <f>I22</f>
        <v>1.218989898989899</v>
      </c>
      <c r="K3" s="197"/>
    </row>
    <row r="4" spans="1:13" ht="12.75">
      <c r="A4" s="50"/>
      <c r="B4" s="51"/>
      <c r="C4" s="51">
        <f aca="true" t="shared" si="2" ref="C3:C21">B4-B3</f>
        <v>0</v>
      </c>
      <c r="D4" s="52">
        <v>3</v>
      </c>
      <c r="E4" s="54"/>
      <c r="F4" s="54" t="e">
        <f t="shared" si="0"/>
        <v>#DIV/0!</v>
      </c>
      <c r="G4" s="54">
        <f>F22</f>
        <v>10.760869565217392</v>
      </c>
      <c r="H4" s="53"/>
      <c r="I4" s="195" t="e">
        <f t="shared" si="1"/>
        <v>#DIV/0!</v>
      </c>
      <c r="J4" s="196">
        <f>I22</f>
        <v>1.218989898989899</v>
      </c>
      <c r="K4" s="197"/>
      <c r="L4" s="158"/>
      <c r="M4" s="156"/>
    </row>
    <row r="5" spans="1:11" ht="12.75">
      <c r="A5" s="50"/>
      <c r="B5" s="51"/>
      <c r="C5" s="51">
        <f t="shared" si="2"/>
        <v>0</v>
      </c>
      <c r="D5" s="52">
        <v>4</v>
      </c>
      <c r="E5" s="53"/>
      <c r="F5" s="54" t="e">
        <f t="shared" si="0"/>
        <v>#DIV/0!</v>
      </c>
      <c r="G5" s="54">
        <f>F22</f>
        <v>10.760869565217392</v>
      </c>
      <c r="H5" s="53"/>
      <c r="I5" s="195" t="e">
        <f t="shared" si="1"/>
        <v>#DIV/0!</v>
      </c>
      <c r="J5" s="196">
        <f>I22</f>
        <v>1.218989898989899</v>
      </c>
      <c r="K5" s="197"/>
    </row>
    <row r="6" spans="1:12" ht="12.75">
      <c r="A6" s="50"/>
      <c r="B6" s="51"/>
      <c r="C6" s="51">
        <f t="shared" si="2"/>
        <v>0</v>
      </c>
      <c r="D6" s="52">
        <v>5</v>
      </c>
      <c r="E6" s="53"/>
      <c r="F6" s="54" t="e">
        <f t="shared" si="0"/>
        <v>#DIV/0!</v>
      </c>
      <c r="G6" s="54">
        <f>F22</f>
        <v>10.760869565217392</v>
      </c>
      <c r="H6" s="53"/>
      <c r="I6" s="195" t="e">
        <f t="shared" si="1"/>
        <v>#DIV/0!</v>
      </c>
      <c r="J6" s="196">
        <f>I22</f>
        <v>1.218989898989899</v>
      </c>
      <c r="K6" s="197"/>
      <c r="L6" s="156"/>
    </row>
    <row r="7" spans="1:12" ht="12.75">
      <c r="A7" s="50"/>
      <c r="B7" s="51"/>
      <c r="C7" s="51">
        <f t="shared" si="2"/>
        <v>0</v>
      </c>
      <c r="D7" s="52">
        <v>6</v>
      </c>
      <c r="E7" s="53"/>
      <c r="F7" s="54" t="e">
        <f t="shared" si="0"/>
        <v>#DIV/0!</v>
      </c>
      <c r="G7" s="54">
        <f>F22</f>
        <v>10.760869565217392</v>
      </c>
      <c r="H7" s="53"/>
      <c r="I7" s="195" t="e">
        <f t="shared" si="1"/>
        <v>#DIV/0!</v>
      </c>
      <c r="J7" s="196">
        <f>I22</f>
        <v>1.218989898989899</v>
      </c>
      <c r="K7" s="197"/>
      <c r="L7" s="156"/>
    </row>
    <row r="8" spans="1:12" ht="12.75">
      <c r="A8" s="50"/>
      <c r="B8" s="51"/>
      <c r="C8" s="51">
        <f t="shared" si="2"/>
        <v>0</v>
      </c>
      <c r="D8" s="52">
        <v>7</v>
      </c>
      <c r="E8" s="53"/>
      <c r="F8" s="54" t="e">
        <f t="shared" si="0"/>
        <v>#DIV/0!</v>
      </c>
      <c r="G8" s="54">
        <f>F22</f>
        <v>10.760869565217392</v>
      </c>
      <c r="H8" s="53"/>
      <c r="I8" s="195" t="e">
        <f t="shared" si="1"/>
        <v>#DIV/0!</v>
      </c>
      <c r="J8" s="196">
        <f>I22</f>
        <v>1.218989898989899</v>
      </c>
      <c r="K8" s="197"/>
      <c r="L8" s="156"/>
    </row>
    <row r="9" spans="1:11" ht="12.75">
      <c r="A9" s="55"/>
      <c r="B9" s="51"/>
      <c r="C9" s="51">
        <f t="shared" si="2"/>
        <v>0</v>
      </c>
      <c r="D9" s="52">
        <v>8</v>
      </c>
      <c r="E9" s="53"/>
      <c r="F9" s="54" t="e">
        <f t="shared" si="0"/>
        <v>#DIV/0!</v>
      </c>
      <c r="G9" s="54">
        <f>F22</f>
        <v>10.760869565217392</v>
      </c>
      <c r="H9" s="53"/>
      <c r="I9" s="195" t="e">
        <f t="shared" si="1"/>
        <v>#DIV/0!</v>
      </c>
      <c r="J9" s="196">
        <f>I22</f>
        <v>1.218989898989899</v>
      </c>
      <c r="K9" s="197"/>
    </row>
    <row r="10" spans="1:11" ht="12.75">
      <c r="A10" s="55"/>
      <c r="B10" s="51"/>
      <c r="C10" s="51">
        <f t="shared" si="2"/>
        <v>0</v>
      </c>
      <c r="D10" s="52">
        <v>9</v>
      </c>
      <c r="E10" s="53"/>
      <c r="F10" s="54" t="e">
        <f t="shared" si="0"/>
        <v>#DIV/0!</v>
      </c>
      <c r="G10" s="54">
        <f>F22</f>
        <v>10.760869565217392</v>
      </c>
      <c r="H10" s="53"/>
      <c r="I10" s="195" t="e">
        <f t="shared" si="1"/>
        <v>#DIV/0!</v>
      </c>
      <c r="J10" s="196">
        <f>I22</f>
        <v>1.218989898989899</v>
      </c>
      <c r="K10" s="197"/>
    </row>
    <row r="11" spans="1:11" ht="12.75">
      <c r="A11" s="55"/>
      <c r="B11" s="51"/>
      <c r="C11" s="51">
        <f t="shared" si="2"/>
        <v>0</v>
      </c>
      <c r="D11" s="52">
        <v>10</v>
      </c>
      <c r="E11" s="53"/>
      <c r="F11" s="54" t="e">
        <f t="shared" si="0"/>
        <v>#DIV/0!</v>
      </c>
      <c r="G11" s="54">
        <f>F22</f>
        <v>10.760869565217392</v>
      </c>
      <c r="H11" s="53"/>
      <c r="I11" s="195" t="e">
        <f t="shared" si="1"/>
        <v>#DIV/0!</v>
      </c>
      <c r="J11" s="196">
        <f>I22</f>
        <v>1.218989898989899</v>
      </c>
      <c r="K11" s="197"/>
    </row>
    <row r="12" spans="1:11" ht="12.75">
      <c r="A12" s="55"/>
      <c r="B12" s="51"/>
      <c r="C12" s="51">
        <f t="shared" si="2"/>
        <v>0</v>
      </c>
      <c r="D12" s="52">
        <v>11</v>
      </c>
      <c r="E12" s="53"/>
      <c r="F12" s="54" t="e">
        <f t="shared" si="0"/>
        <v>#DIV/0!</v>
      </c>
      <c r="G12" s="54">
        <f>F22</f>
        <v>10.760869565217392</v>
      </c>
      <c r="H12" s="53"/>
      <c r="I12" s="195" t="e">
        <f t="shared" si="1"/>
        <v>#DIV/0!</v>
      </c>
      <c r="J12" s="196">
        <f>I22</f>
        <v>1.218989898989899</v>
      </c>
      <c r="K12" s="197"/>
    </row>
    <row r="13" spans="1:11" ht="12.75">
      <c r="A13" s="55"/>
      <c r="B13" s="51"/>
      <c r="C13" s="51">
        <f t="shared" si="2"/>
        <v>0</v>
      </c>
      <c r="D13" s="52">
        <v>12</v>
      </c>
      <c r="E13" s="53"/>
      <c r="F13" s="54" t="e">
        <f t="shared" si="0"/>
        <v>#DIV/0!</v>
      </c>
      <c r="G13" s="54">
        <f>F22</f>
        <v>10.760869565217392</v>
      </c>
      <c r="H13" s="53"/>
      <c r="I13" s="195" t="e">
        <f t="shared" si="1"/>
        <v>#DIV/0!</v>
      </c>
      <c r="J13" s="196">
        <f>I22</f>
        <v>1.218989898989899</v>
      </c>
      <c r="K13" s="197"/>
    </row>
    <row r="14" spans="1:11" ht="12.75">
      <c r="A14" s="55"/>
      <c r="B14" s="51"/>
      <c r="C14" s="51">
        <f t="shared" si="2"/>
        <v>0</v>
      </c>
      <c r="D14" s="52">
        <v>13</v>
      </c>
      <c r="E14" s="53"/>
      <c r="F14" s="54" t="e">
        <f t="shared" si="0"/>
        <v>#DIV/0!</v>
      </c>
      <c r="G14" s="54">
        <f>F22</f>
        <v>10.760869565217392</v>
      </c>
      <c r="H14" s="53"/>
      <c r="I14" s="195" t="e">
        <f t="shared" si="1"/>
        <v>#DIV/0!</v>
      </c>
      <c r="J14" s="196">
        <f>I22</f>
        <v>1.218989898989899</v>
      </c>
      <c r="K14" s="197"/>
    </row>
    <row r="15" spans="1:11" ht="12.75">
      <c r="A15" s="55"/>
      <c r="B15" s="51"/>
      <c r="C15" s="51">
        <f t="shared" si="2"/>
        <v>0</v>
      </c>
      <c r="D15" s="52">
        <v>14</v>
      </c>
      <c r="E15" s="53"/>
      <c r="F15" s="54" t="e">
        <f t="shared" si="0"/>
        <v>#DIV/0!</v>
      </c>
      <c r="G15" s="54">
        <f>F22</f>
        <v>10.760869565217392</v>
      </c>
      <c r="H15" s="53"/>
      <c r="I15" s="195" t="e">
        <f t="shared" si="1"/>
        <v>#DIV/0!</v>
      </c>
      <c r="J15" s="196">
        <f>I22</f>
        <v>1.218989898989899</v>
      </c>
      <c r="K15" s="197"/>
    </row>
    <row r="16" spans="1:11" ht="12.75">
      <c r="A16" s="55"/>
      <c r="B16" s="51"/>
      <c r="C16" s="51">
        <f t="shared" si="2"/>
        <v>0</v>
      </c>
      <c r="D16" s="52">
        <v>15</v>
      </c>
      <c r="E16" s="53"/>
      <c r="F16" s="54" t="e">
        <f t="shared" si="0"/>
        <v>#DIV/0!</v>
      </c>
      <c r="G16" s="54">
        <f>F22</f>
        <v>10.760869565217392</v>
      </c>
      <c r="H16" s="53"/>
      <c r="I16" s="195" t="e">
        <f t="shared" si="1"/>
        <v>#DIV/0!</v>
      </c>
      <c r="J16" s="196">
        <f>I22</f>
        <v>1.218989898989899</v>
      </c>
      <c r="K16" s="197"/>
    </row>
    <row r="17" spans="1:11" ht="12.75">
      <c r="A17" s="55"/>
      <c r="B17" s="51"/>
      <c r="C17" s="51">
        <f t="shared" si="2"/>
        <v>0</v>
      </c>
      <c r="D17" s="52">
        <v>16</v>
      </c>
      <c r="E17" s="53"/>
      <c r="F17" s="54" t="e">
        <f t="shared" si="0"/>
        <v>#DIV/0!</v>
      </c>
      <c r="G17" s="54">
        <f>F22</f>
        <v>10.760869565217392</v>
      </c>
      <c r="H17" s="53"/>
      <c r="I17" s="195" t="e">
        <f t="shared" si="1"/>
        <v>#DIV/0!</v>
      </c>
      <c r="J17" s="196">
        <f>I22</f>
        <v>1.218989898989899</v>
      </c>
      <c r="K17" s="197"/>
    </row>
    <row r="18" spans="1:11" ht="12.75">
      <c r="A18" s="50"/>
      <c r="B18" s="51"/>
      <c r="C18" s="51">
        <f t="shared" si="2"/>
        <v>0</v>
      </c>
      <c r="D18" s="52">
        <v>17</v>
      </c>
      <c r="E18" s="53"/>
      <c r="F18" s="54" t="e">
        <f t="shared" si="0"/>
        <v>#DIV/0!</v>
      </c>
      <c r="G18" s="54">
        <f>F22</f>
        <v>10.760869565217392</v>
      </c>
      <c r="H18" s="54"/>
      <c r="I18" s="195" t="e">
        <f t="shared" si="1"/>
        <v>#DIV/0!</v>
      </c>
      <c r="J18" s="196">
        <f>I22</f>
        <v>1.218989898989899</v>
      </c>
      <c r="K18" s="197"/>
    </row>
    <row r="19" spans="1:11" ht="12.75">
      <c r="A19" s="55"/>
      <c r="B19" s="51"/>
      <c r="C19" s="51">
        <f t="shared" si="2"/>
        <v>0</v>
      </c>
      <c r="D19" s="52">
        <v>18</v>
      </c>
      <c r="E19" s="53"/>
      <c r="F19" s="54" t="e">
        <f t="shared" si="0"/>
        <v>#DIV/0!</v>
      </c>
      <c r="G19" s="54">
        <f>F22</f>
        <v>10.760869565217392</v>
      </c>
      <c r="H19" s="53"/>
      <c r="I19" s="195" t="e">
        <f t="shared" si="1"/>
        <v>#DIV/0!</v>
      </c>
      <c r="J19" s="196">
        <f>I22</f>
        <v>1.218989898989899</v>
      </c>
      <c r="K19" s="197"/>
    </row>
    <row r="20" spans="1:11" ht="12.75">
      <c r="A20" s="55"/>
      <c r="B20" s="51"/>
      <c r="C20" s="51">
        <f t="shared" si="2"/>
        <v>0</v>
      </c>
      <c r="D20" s="52">
        <v>19</v>
      </c>
      <c r="E20" s="53"/>
      <c r="F20" s="54" t="e">
        <f t="shared" si="0"/>
        <v>#DIV/0!</v>
      </c>
      <c r="G20" s="54">
        <f>F22</f>
        <v>10.760869565217392</v>
      </c>
      <c r="H20" s="53"/>
      <c r="I20" s="195" t="e">
        <f t="shared" si="1"/>
        <v>#DIV/0!</v>
      </c>
      <c r="J20" s="196">
        <f>I22</f>
        <v>1.218989898989899</v>
      </c>
      <c r="K20" s="197"/>
    </row>
    <row r="21" spans="1:11" ht="13.5" thickBot="1">
      <c r="A21" s="206"/>
      <c r="B21" s="207"/>
      <c r="C21" s="207">
        <f t="shared" si="2"/>
        <v>0</v>
      </c>
      <c r="D21" s="208">
        <v>20</v>
      </c>
      <c r="E21" s="209"/>
      <c r="F21" s="210" t="e">
        <f t="shared" si="0"/>
        <v>#DIV/0!</v>
      </c>
      <c r="G21" s="210">
        <f>F22</f>
        <v>10.760869565217392</v>
      </c>
      <c r="H21" s="209"/>
      <c r="I21" s="211" t="e">
        <f t="shared" si="1"/>
        <v>#DIV/0!</v>
      </c>
      <c r="J21" s="212">
        <f>I22</f>
        <v>1.218989898989899</v>
      </c>
      <c r="K21" s="213"/>
    </row>
    <row r="22" spans="1:11" ht="13.5" thickBot="1">
      <c r="A22" s="214" t="s">
        <v>8</v>
      </c>
      <c r="B22" s="215">
        <f>B21</f>
        <v>0</v>
      </c>
      <c r="C22" s="215">
        <f>SUM(C2:C21)+Conso4!C22</f>
        <v>31151</v>
      </c>
      <c r="D22" s="216"/>
      <c r="E22" s="217">
        <f>SUM(E2:E21)</f>
        <v>49.5</v>
      </c>
      <c r="F22" s="218">
        <f>E22/SUM(C2:C21)*100</f>
        <v>10.760869565217392</v>
      </c>
      <c r="G22" s="218"/>
      <c r="H22" s="217">
        <f>SUM(H2:H21)</f>
        <v>60.34</v>
      </c>
      <c r="I22" s="219">
        <f t="shared" si="1"/>
        <v>1.218989898989899</v>
      </c>
      <c r="J22" s="220"/>
      <c r="K22" s="221">
        <f>AVERAGE(K2:K21)</f>
        <v>112</v>
      </c>
    </row>
    <row r="23" spans="2:10" ht="12.75">
      <c r="B23" s="39"/>
      <c r="C23" s="39"/>
      <c r="D23" s="40"/>
      <c r="E23" s="39"/>
      <c r="F23" s="39"/>
      <c r="G23" s="39"/>
      <c r="H23" s="39"/>
      <c r="I23" s="39"/>
      <c r="J23" s="39"/>
    </row>
    <row r="24" spans="2:10" ht="12.75">
      <c r="B24" s="39"/>
      <c r="C24" s="39"/>
      <c r="D24" s="40"/>
      <c r="E24" s="39"/>
      <c r="F24" s="39"/>
      <c r="G24" s="39"/>
      <c r="H24" s="39"/>
      <c r="I24" s="39"/>
      <c r="J24" s="39"/>
    </row>
    <row r="25" spans="2:10" ht="12.75">
      <c r="B25" s="39"/>
      <c r="C25" s="39"/>
      <c r="D25" s="40"/>
      <c r="E25" s="39"/>
      <c r="F25" s="39"/>
      <c r="G25" s="39"/>
      <c r="H25" s="39"/>
      <c r="I25" s="39"/>
      <c r="J25" s="39"/>
    </row>
    <row r="26" spans="2:10" ht="12.75">
      <c r="B26" s="39"/>
      <c r="C26" s="39"/>
      <c r="D26" s="40"/>
      <c r="E26" s="39"/>
      <c r="F26" s="39"/>
      <c r="G26" s="39"/>
      <c r="H26" s="39"/>
      <c r="I26" s="39"/>
      <c r="J26" s="39"/>
    </row>
    <row r="27" spans="2:10" ht="12.75">
      <c r="B27" s="39"/>
      <c r="C27" s="39"/>
      <c r="D27" s="40"/>
      <c r="E27" s="39"/>
      <c r="F27" s="39"/>
      <c r="G27" s="39"/>
      <c r="H27" s="39"/>
      <c r="I27" s="39"/>
      <c r="J27" s="39"/>
    </row>
    <row r="28" spans="2:10" ht="12.75">
      <c r="B28" s="39"/>
      <c r="C28" s="39"/>
      <c r="D28" s="40"/>
      <c r="E28" s="39"/>
      <c r="F28" s="39"/>
      <c r="G28" s="39"/>
      <c r="H28" s="39"/>
      <c r="I28" s="39"/>
      <c r="J28" s="39"/>
    </row>
    <row r="29" spans="2:10" ht="12.75">
      <c r="B29" s="39"/>
      <c r="C29" s="39"/>
      <c r="D29" s="40"/>
      <c r="E29" s="39"/>
      <c r="F29" s="39"/>
      <c r="G29" s="39"/>
      <c r="H29" s="39"/>
      <c r="I29" s="39"/>
      <c r="J29" s="39"/>
    </row>
    <row r="30" spans="2:10" ht="12.75">
      <c r="B30" s="39"/>
      <c r="C30" s="39"/>
      <c r="D30" s="40"/>
      <c r="E30" s="39"/>
      <c r="F30" s="39"/>
      <c r="G30" s="39"/>
      <c r="H30" s="39"/>
      <c r="I30" s="39"/>
      <c r="J30" s="39"/>
    </row>
    <row r="31" spans="2:10" ht="12.75">
      <c r="B31" s="39"/>
      <c r="C31" s="39"/>
      <c r="D31" s="40"/>
      <c r="E31" s="39"/>
      <c r="F31" s="39"/>
      <c r="G31" s="39"/>
      <c r="H31" s="39"/>
      <c r="I31" s="39"/>
      <c r="J31" s="39"/>
    </row>
    <row r="32" spans="2:10" ht="12.75">
      <c r="B32" s="39"/>
      <c r="C32" s="39"/>
      <c r="D32" s="40"/>
      <c r="E32" s="39"/>
      <c r="F32" s="39"/>
      <c r="G32" s="39"/>
      <c r="H32" s="39"/>
      <c r="I32" s="39"/>
      <c r="J32" s="39"/>
    </row>
    <row r="33" spans="2:10" ht="12.75">
      <c r="B33" s="39"/>
      <c r="C33" s="39"/>
      <c r="D33" s="40"/>
      <c r="E33" s="39"/>
      <c r="F33" s="39"/>
      <c r="G33" s="39"/>
      <c r="H33" s="39"/>
      <c r="I33" s="39"/>
      <c r="J33" s="39"/>
    </row>
    <row r="34" spans="2:10" ht="12.75">
      <c r="B34" s="39"/>
      <c r="C34" s="39"/>
      <c r="D34" s="40"/>
      <c r="E34" s="39"/>
      <c r="F34" s="39"/>
      <c r="G34" s="39"/>
      <c r="H34" s="39"/>
      <c r="I34" s="39"/>
      <c r="J34" s="39"/>
    </row>
    <row r="35" spans="2:10" ht="12.75">
      <c r="B35" s="39"/>
      <c r="C35" s="39"/>
      <c r="D35" s="40"/>
      <c r="E35" s="39"/>
      <c r="F35" s="39"/>
      <c r="G35" s="39"/>
      <c r="H35" s="39"/>
      <c r="I35" s="39"/>
      <c r="J35" s="39"/>
    </row>
    <row r="36" spans="2:10" ht="12.75">
      <c r="B36" s="39"/>
      <c r="C36" s="39"/>
      <c r="D36" s="40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40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40"/>
      <c r="E38" s="39"/>
      <c r="F38" s="39"/>
      <c r="G38" s="39"/>
      <c r="H38" s="39"/>
      <c r="I38" s="39"/>
      <c r="J38" s="39"/>
    </row>
    <row r="39" spans="2:10" ht="12.75">
      <c r="B39" s="39"/>
      <c r="C39" s="39"/>
      <c r="D39" s="40"/>
      <c r="E39" s="39"/>
      <c r="F39" s="39"/>
      <c r="G39" s="39"/>
      <c r="H39" s="39"/>
      <c r="I39" s="39"/>
      <c r="J39" s="39"/>
    </row>
    <row r="40" spans="2:10" ht="12.75">
      <c r="B40" s="39"/>
      <c r="C40" s="39"/>
      <c r="D40" s="40"/>
      <c r="E40" s="39"/>
      <c r="F40" s="39"/>
      <c r="G40" s="39"/>
      <c r="H40" s="39"/>
      <c r="I40" s="39"/>
      <c r="J40" s="39"/>
    </row>
    <row r="41" spans="2:10" ht="12.75">
      <c r="B41" s="39"/>
      <c r="C41" s="39"/>
      <c r="D41" s="40"/>
      <c r="E41" s="39"/>
      <c r="F41" s="39"/>
      <c r="G41" s="39"/>
      <c r="H41" s="39"/>
      <c r="I41" s="39"/>
      <c r="J41" s="39"/>
    </row>
    <row r="42" spans="2:10" ht="12.75">
      <c r="B42" s="39"/>
      <c r="C42" s="39"/>
      <c r="D42" s="40"/>
      <c r="E42" s="39"/>
      <c r="F42" s="39"/>
      <c r="G42" s="39"/>
      <c r="H42" s="39"/>
      <c r="I42" s="39"/>
      <c r="J42" s="39"/>
    </row>
    <row r="43" spans="2:10" ht="12.75">
      <c r="B43" s="39"/>
      <c r="C43" s="39"/>
      <c r="D43" s="40"/>
      <c r="E43" s="39"/>
      <c r="F43" s="39"/>
      <c r="G43" s="39"/>
      <c r="H43" s="39"/>
      <c r="I43" s="39"/>
      <c r="J43" s="39"/>
    </row>
    <row r="44" spans="2:10" ht="12.75">
      <c r="B44" s="39"/>
      <c r="C44" s="39"/>
      <c r="D44" s="40"/>
      <c r="E44" s="39"/>
      <c r="F44" s="39"/>
      <c r="G44" s="39"/>
      <c r="H44" s="39"/>
      <c r="I44" s="39"/>
      <c r="J44" s="39"/>
    </row>
    <row r="45" spans="2:10" ht="12.75">
      <c r="B45" s="39"/>
      <c r="C45" s="39"/>
      <c r="D45" s="40"/>
      <c r="E45" s="39"/>
      <c r="F45" s="39"/>
      <c r="G45" s="39"/>
      <c r="H45" s="39"/>
      <c r="I45" s="39"/>
      <c r="J45" s="39"/>
    </row>
    <row r="46" spans="2:10" ht="12.75">
      <c r="B46" s="39"/>
      <c r="C46" s="39"/>
      <c r="D46" s="40"/>
      <c r="E46" s="39"/>
      <c r="F46" s="39"/>
      <c r="G46" s="39"/>
      <c r="H46" s="39"/>
      <c r="I46" s="39"/>
      <c r="J46" s="39"/>
    </row>
    <row r="47" spans="2:10" ht="12.75">
      <c r="B47" s="39"/>
      <c r="C47" s="39"/>
      <c r="D47" s="40"/>
      <c r="E47" s="39"/>
      <c r="F47" s="39"/>
      <c r="G47" s="39"/>
      <c r="H47" s="39"/>
      <c r="I47" s="39"/>
      <c r="J47" s="39"/>
    </row>
    <row r="48" spans="2:10" ht="12.75">
      <c r="B48" s="39"/>
      <c r="C48" s="39"/>
      <c r="D48" s="40"/>
      <c r="E48" s="39"/>
      <c r="F48" s="39"/>
      <c r="G48" s="39"/>
      <c r="H48" s="39"/>
      <c r="I48" s="39"/>
      <c r="J48" s="39"/>
    </row>
    <row r="49" spans="2:10" ht="12.75">
      <c r="B49" s="39"/>
      <c r="C49" s="39"/>
      <c r="D49" s="40"/>
      <c r="E49" s="39"/>
      <c r="F49" s="39"/>
      <c r="G49" s="39"/>
      <c r="H49" s="39"/>
      <c r="I49" s="39"/>
      <c r="J49" s="39"/>
    </row>
    <row r="50" spans="2:10" ht="12.75">
      <c r="B50" s="39"/>
      <c r="C50" s="39"/>
      <c r="D50" s="40"/>
      <c r="E50" s="39"/>
      <c r="F50" s="39"/>
      <c r="G50" s="39"/>
      <c r="H50" s="39"/>
      <c r="I50" s="39"/>
      <c r="J50" s="39"/>
    </row>
    <row r="51" spans="2:10" ht="12.75">
      <c r="B51" s="39"/>
      <c r="C51" s="39"/>
      <c r="D51" s="40"/>
      <c r="E51" s="39"/>
      <c r="F51" s="39"/>
      <c r="G51" s="39"/>
      <c r="H51" s="39"/>
      <c r="I51" s="39"/>
      <c r="J51" s="39"/>
    </row>
    <row r="52" spans="2:10" ht="12.75">
      <c r="B52" s="39"/>
      <c r="C52" s="39"/>
      <c r="D52" s="40"/>
      <c r="E52" s="39"/>
      <c r="F52" s="39"/>
      <c r="G52" s="39"/>
      <c r="H52" s="39"/>
      <c r="I52" s="39"/>
      <c r="J52" s="39"/>
    </row>
    <row r="53" spans="2:10" ht="12.75">
      <c r="B53" s="39"/>
      <c r="C53" s="39"/>
      <c r="D53" s="40"/>
      <c r="E53" s="39"/>
      <c r="F53" s="39"/>
      <c r="G53" s="39"/>
      <c r="H53" s="39"/>
      <c r="I53" s="39"/>
      <c r="J53" s="39"/>
    </row>
    <row r="54" spans="2:10" ht="12.75">
      <c r="B54" s="39"/>
      <c r="C54" s="39"/>
      <c r="D54" s="40"/>
      <c r="E54" s="39"/>
      <c r="F54" s="39"/>
      <c r="G54" s="39"/>
      <c r="H54" s="39"/>
      <c r="I54" s="39"/>
      <c r="J54" s="39"/>
    </row>
    <row r="55" spans="2:10" ht="12.75">
      <c r="B55" s="39"/>
      <c r="C55" s="39"/>
      <c r="D55" s="40"/>
      <c r="E55" s="39"/>
      <c r="F55" s="39"/>
      <c r="G55" s="39"/>
      <c r="H55" s="39"/>
      <c r="I55" s="39"/>
      <c r="J55" s="39"/>
    </row>
  </sheetData>
  <printOptions gridLines="1"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80" zoomScaleNormal="80" workbookViewId="0" topLeftCell="A1">
      <selection activeCell="N4" sqref="N4"/>
    </sheetView>
  </sheetViews>
  <sheetFormatPr defaultColWidth="11.421875" defaultRowHeight="12.75"/>
  <cols>
    <col min="1" max="14" width="11.28125" style="0" customWidth="1"/>
  </cols>
  <sheetData>
    <row r="1" spans="1:14" s="26" customFormat="1" ht="15.75">
      <c r="A1" s="116">
        <v>2003</v>
      </c>
      <c r="B1" s="24" t="s">
        <v>13</v>
      </c>
      <c r="C1" s="24" t="s">
        <v>14</v>
      </c>
      <c r="D1" s="24" t="s">
        <v>15</v>
      </c>
      <c r="E1" s="24" t="s">
        <v>16</v>
      </c>
      <c r="F1" s="24" t="s">
        <v>9</v>
      </c>
      <c r="G1" s="24" t="s">
        <v>17</v>
      </c>
      <c r="H1" s="24" t="s">
        <v>18</v>
      </c>
      <c r="I1" s="24" t="s">
        <v>19</v>
      </c>
      <c r="J1" s="24" t="s">
        <v>20</v>
      </c>
      <c r="K1" s="24" t="s">
        <v>21</v>
      </c>
      <c r="L1" s="24" t="s">
        <v>22</v>
      </c>
      <c r="M1" s="24" t="s">
        <v>23</v>
      </c>
      <c r="N1" s="25" t="s">
        <v>10</v>
      </c>
    </row>
    <row r="2" spans="1:14" ht="12.75">
      <c r="A2" s="1" t="s">
        <v>24</v>
      </c>
      <c r="B2" s="2">
        <v>0</v>
      </c>
      <c r="C2" s="2">
        <v>0</v>
      </c>
      <c r="D2" s="2">
        <v>0</v>
      </c>
      <c r="E2" s="2">
        <v>0</v>
      </c>
      <c r="F2" s="2">
        <v>434</v>
      </c>
      <c r="G2" s="2">
        <f>438+499+439+369</f>
        <v>1745</v>
      </c>
      <c r="H2" s="3">
        <f>90+501+513+133+459</f>
        <v>1696</v>
      </c>
      <c r="I2" s="2">
        <f>158+440+146+181+452+327</f>
        <v>1704</v>
      </c>
      <c r="J2" s="4">
        <v>291</v>
      </c>
      <c r="K2" s="2">
        <f>333+337</f>
        <v>670</v>
      </c>
      <c r="L2" s="2">
        <f>438+341</f>
        <v>779</v>
      </c>
      <c r="M2" s="2">
        <f>298+449+296+477+430+652</f>
        <v>2602</v>
      </c>
      <c r="N2" s="5">
        <f>SUM(B2:M2)</f>
        <v>9921</v>
      </c>
    </row>
    <row r="3" spans="1:14" ht="12.75">
      <c r="A3" s="1" t="s">
        <v>4</v>
      </c>
      <c r="B3" s="2">
        <v>0</v>
      </c>
      <c r="C3" s="2">
        <v>0</v>
      </c>
      <c r="D3" s="2">
        <v>0</v>
      </c>
      <c r="E3" s="2">
        <v>0</v>
      </c>
      <c r="F3" s="2">
        <v>50.69</v>
      </c>
      <c r="G3" s="2">
        <f>52+53.2+54+56</f>
        <v>215.2</v>
      </c>
      <c r="H3" s="2">
        <f>14.5+52.3+51.2+14+55.55</f>
        <v>187.55</v>
      </c>
      <c r="I3" s="2">
        <f>28+50+18+21+55.11+50</f>
        <v>222.11</v>
      </c>
      <c r="J3" s="4">
        <v>55</v>
      </c>
      <c r="K3" s="2">
        <f>43+50</f>
        <v>93</v>
      </c>
      <c r="L3" s="2">
        <f>50+55</f>
        <v>105</v>
      </c>
      <c r="M3" s="2">
        <f>53.5+49+32.5+51.52+47+70</f>
        <v>303.52</v>
      </c>
      <c r="N3" s="5">
        <f>SUM(B3:M3)</f>
        <v>1232.07</v>
      </c>
    </row>
    <row r="4" spans="1:14" ht="12.75">
      <c r="A4" s="1" t="s">
        <v>25</v>
      </c>
      <c r="B4" s="6" t="e">
        <f aca="true" t="shared" si="0" ref="B4:N4">B3/B2*100</f>
        <v>#DIV/0!</v>
      </c>
      <c r="C4" s="6" t="e">
        <f t="shared" si="0"/>
        <v>#DIV/0!</v>
      </c>
      <c r="D4" s="6" t="e">
        <f t="shared" si="0"/>
        <v>#DIV/0!</v>
      </c>
      <c r="E4" s="6" t="e">
        <f t="shared" si="0"/>
        <v>#DIV/0!</v>
      </c>
      <c r="F4" s="6">
        <f t="shared" si="0"/>
        <v>11.679723502304148</v>
      </c>
      <c r="G4" s="6">
        <f t="shared" si="0"/>
        <v>12.332378223495702</v>
      </c>
      <c r="H4" s="6">
        <f t="shared" si="0"/>
        <v>11.058372641509434</v>
      </c>
      <c r="I4" s="6">
        <f t="shared" si="0"/>
        <v>13.03462441314554</v>
      </c>
      <c r="J4" s="6">
        <f t="shared" si="0"/>
        <v>18.900343642611684</v>
      </c>
      <c r="K4" s="6">
        <f t="shared" si="0"/>
        <v>13.880597014925373</v>
      </c>
      <c r="L4" s="6">
        <f t="shared" si="0"/>
        <v>13.478818998716303</v>
      </c>
      <c r="M4" s="6">
        <f t="shared" si="0"/>
        <v>11.664873174481167</v>
      </c>
      <c r="N4" s="7">
        <f t="shared" si="0"/>
        <v>12.418808587843968</v>
      </c>
    </row>
    <row r="5" spans="1:14" ht="12.75" hidden="1">
      <c r="A5" s="1" t="s">
        <v>11</v>
      </c>
      <c r="B5" s="6">
        <f aca="true" t="shared" si="1" ref="B5:M5">C5</f>
        <v>12.418808587843968</v>
      </c>
      <c r="C5" s="6">
        <f t="shared" si="1"/>
        <v>12.418808587843968</v>
      </c>
      <c r="D5" s="6">
        <f t="shared" si="1"/>
        <v>12.418808587843968</v>
      </c>
      <c r="E5" s="6">
        <f t="shared" si="1"/>
        <v>12.418808587843968</v>
      </c>
      <c r="F5" s="6">
        <f t="shared" si="1"/>
        <v>12.418808587843968</v>
      </c>
      <c r="G5" s="6">
        <f t="shared" si="1"/>
        <v>12.418808587843968</v>
      </c>
      <c r="H5" s="6">
        <f t="shared" si="1"/>
        <v>12.418808587843968</v>
      </c>
      <c r="I5" s="6">
        <f t="shared" si="1"/>
        <v>12.418808587843968</v>
      </c>
      <c r="J5" s="6">
        <f t="shared" si="1"/>
        <v>12.418808587843968</v>
      </c>
      <c r="K5" s="6">
        <f t="shared" si="1"/>
        <v>12.418808587843968</v>
      </c>
      <c r="L5" s="6">
        <f t="shared" si="1"/>
        <v>12.418808587843968</v>
      </c>
      <c r="M5" s="6">
        <f t="shared" si="1"/>
        <v>12.418808587843968</v>
      </c>
      <c r="N5" s="7">
        <f>N4</f>
        <v>12.418808587843968</v>
      </c>
    </row>
    <row r="6" spans="1:14" ht="13.5" thickBot="1">
      <c r="A6" s="8" t="s">
        <v>12</v>
      </c>
      <c r="B6" s="89">
        <v>0</v>
      </c>
      <c r="C6" s="89">
        <v>0</v>
      </c>
      <c r="D6" s="89">
        <v>0</v>
      </c>
      <c r="E6" s="89">
        <v>0</v>
      </c>
      <c r="F6" s="89">
        <v>50.18</v>
      </c>
      <c r="G6" s="89">
        <f>54.6+50.01+55.08+54.82</f>
        <v>214.51</v>
      </c>
      <c r="H6" s="89">
        <f>14.94+51+50.95+13.93+57.77</f>
        <v>188.59</v>
      </c>
      <c r="I6" s="89">
        <f>29.12+50.1+17.96+20.94+55+48.8</f>
        <v>221.92000000000002</v>
      </c>
      <c r="J6" s="89">
        <v>53.08</v>
      </c>
      <c r="K6" s="89">
        <f>42.57+48.5</f>
        <v>91.07</v>
      </c>
      <c r="L6" s="89">
        <f>53+57.75</f>
        <v>110.75</v>
      </c>
      <c r="M6" s="89">
        <f>57.5+48.27+32.99+51+46.11+69.95</f>
        <v>305.82</v>
      </c>
      <c r="N6" s="90">
        <f>SUM(B6:M6)</f>
        <v>1235.92</v>
      </c>
    </row>
    <row r="7" spans="1:14" ht="13.5" thickBot="1">
      <c r="A7" s="92" t="s">
        <v>26</v>
      </c>
      <c r="B7" s="93" t="e">
        <f>B6/B3</f>
        <v>#DIV/0!</v>
      </c>
      <c r="C7" s="93" t="e">
        <f aca="true" t="shared" si="2" ref="C7:N7">C6/C3</f>
        <v>#DIV/0!</v>
      </c>
      <c r="D7" s="93" t="e">
        <f t="shared" si="2"/>
        <v>#DIV/0!</v>
      </c>
      <c r="E7" s="93" t="e">
        <f t="shared" si="2"/>
        <v>#DIV/0!</v>
      </c>
      <c r="F7" s="93">
        <f t="shared" si="2"/>
        <v>0.9899388439534426</v>
      </c>
      <c r="G7" s="93">
        <f t="shared" si="2"/>
        <v>0.9967936802973978</v>
      </c>
      <c r="H7" s="93">
        <f t="shared" si="2"/>
        <v>1.00554518794988</v>
      </c>
      <c r="I7" s="93">
        <f t="shared" si="2"/>
        <v>0.9991445680068435</v>
      </c>
      <c r="J7" s="93">
        <f t="shared" si="2"/>
        <v>0.9650909090909091</v>
      </c>
      <c r="K7" s="93">
        <f t="shared" si="2"/>
        <v>0.9792473118279569</v>
      </c>
      <c r="L7" s="93">
        <f t="shared" si="2"/>
        <v>1.0547619047619048</v>
      </c>
      <c r="M7" s="93">
        <f t="shared" si="2"/>
        <v>1.0075777543489721</v>
      </c>
      <c r="N7" s="94">
        <f t="shared" si="2"/>
        <v>1.0031248224532698</v>
      </c>
    </row>
    <row r="8" spans="1:14" ht="12.75" hidden="1">
      <c r="A8" s="9" t="s">
        <v>11</v>
      </c>
      <c r="B8" s="65">
        <f>N7</f>
        <v>1.0031248224532698</v>
      </c>
      <c r="C8" s="65">
        <f>N7</f>
        <v>1.0031248224532698</v>
      </c>
      <c r="D8" s="65">
        <f>N7</f>
        <v>1.0031248224532698</v>
      </c>
      <c r="E8" s="65">
        <f>N7</f>
        <v>1.0031248224532698</v>
      </c>
      <c r="F8" s="65">
        <f>N7</f>
        <v>1.0031248224532698</v>
      </c>
      <c r="G8" s="65">
        <f>N7</f>
        <v>1.0031248224532698</v>
      </c>
      <c r="H8" s="65">
        <f>N7</f>
        <v>1.0031248224532698</v>
      </c>
      <c r="I8" s="65">
        <f>N7</f>
        <v>1.0031248224532698</v>
      </c>
      <c r="J8" s="65">
        <f>N7</f>
        <v>1.0031248224532698</v>
      </c>
      <c r="K8" s="65">
        <f>N7</f>
        <v>1.0031248224532698</v>
      </c>
      <c r="L8" s="65">
        <f>N7</f>
        <v>1.0031248224532698</v>
      </c>
      <c r="M8" s="65">
        <f>N7</f>
        <v>1.0031248224532698</v>
      </c>
      <c r="N8" s="65"/>
    </row>
    <row r="39" ht="12.75" hidden="1"/>
  </sheetData>
  <printOptions horizontalCentered="1" verticalCentered="1"/>
  <pageMargins left="0.1968503937007874" right="0.1968503937007874" top="0.15748031496062992" bottom="0.1968503937007874" header="0.15748031496062992" footer="0.1968503937007874"/>
  <pageSetup fitToHeight="1" fitToWidth="1" orientation="landscape" paperSize="9" scale="90" r:id="rId2"/>
  <headerFooter alignWithMargins="0">
    <oddHeader>&amp;CConsommation&amp;R&amp;D</oddHeader>
    <oddFooter>&amp;R(D.R.)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workbookViewId="0" topLeftCell="A1">
      <selection activeCell="M2" sqref="M2"/>
    </sheetView>
  </sheetViews>
  <sheetFormatPr defaultColWidth="11.421875" defaultRowHeight="12.75"/>
  <cols>
    <col min="1" max="1" width="11.28125" style="153" customWidth="1"/>
    <col min="2" max="2" width="11.421875" style="153" customWidth="1"/>
    <col min="3" max="14" width="11.28125" style="153" customWidth="1"/>
  </cols>
  <sheetData>
    <row r="1" spans="1:14" ht="15.75" thickBot="1">
      <c r="A1" s="125">
        <v>2004</v>
      </c>
      <c r="B1" s="126" t="s">
        <v>13</v>
      </c>
      <c r="C1" s="127" t="s">
        <v>14</v>
      </c>
      <c r="D1" s="127" t="s">
        <v>15</v>
      </c>
      <c r="E1" s="127" t="s">
        <v>16</v>
      </c>
      <c r="F1" s="127" t="s">
        <v>9</v>
      </c>
      <c r="G1" s="127" t="s">
        <v>17</v>
      </c>
      <c r="H1" s="127" t="s">
        <v>18</v>
      </c>
      <c r="I1" s="127" t="s">
        <v>19</v>
      </c>
      <c r="J1" s="127" t="s">
        <v>20</v>
      </c>
      <c r="K1" s="127" t="s">
        <v>21</v>
      </c>
      <c r="L1" s="127" t="s">
        <v>22</v>
      </c>
      <c r="M1" s="127" t="s">
        <v>23</v>
      </c>
      <c r="N1" s="128" t="s">
        <v>10</v>
      </c>
    </row>
    <row r="2" spans="1:14" ht="15">
      <c r="A2" s="129" t="s">
        <v>24</v>
      </c>
      <c r="B2" s="130">
        <f>334</f>
        <v>334</v>
      </c>
      <c r="C2" s="131">
        <f>325+443+435</f>
        <v>1203</v>
      </c>
      <c r="D2" s="131">
        <f>343+364+334</f>
        <v>1041</v>
      </c>
      <c r="E2" s="131">
        <f>331+366+506</f>
        <v>1203</v>
      </c>
      <c r="F2" s="131">
        <f>448+342</f>
        <v>790</v>
      </c>
      <c r="G2" s="131">
        <f>416+400</f>
        <v>816</v>
      </c>
      <c r="H2" s="132">
        <f>351+429</f>
        <v>780</v>
      </c>
      <c r="I2" s="131">
        <f>456</f>
        <v>456</v>
      </c>
      <c r="J2" s="133">
        <f>398</f>
        <v>398</v>
      </c>
      <c r="K2" s="131">
        <f>433+400</f>
        <v>833</v>
      </c>
      <c r="L2" s="131">
        <f>436</f>
        <v>436</v>
      </c>
      <c r="M2" s="131">
        <f>423+399</f>
        <v>822</v>
      </c>
      <c r="N2" s="134">
        <f>SUM(B2:M2)</f>
        <v>9112</v>
      </c>
    </row>
    <row r="3" spans="1:14" ht="15">
      <c r="A3" s="135" t="s">
        <v>4</v>
      </c>
      <c r="B3" s="136">
        <v>51</v>
      </c>
      <c r="C3" s="137">
        <f>57.12+48+54.5</f>
        <v>159.62</v>
      </c>
      <c r="D3" s="137">
        <f>49.02+55+40</f>
        <v>144.02</v>
      </c>
      <c r="E3" s="137">
        <f>55.5+50+55</f>
        <v>160.5</v>
      </c>
      <c r="F3" s="137">
        <f>56.5+50</f>
        <v>106.5</v>
      </c>
      <c r="G3" s="137">
        <f>55.56+55</f>
        <v>110.56</v>
      </c>
      <c r="H3" s="137">
        <f>52+54</f>
        <v>106</v>
      </c>
      <c r="I3" s="137">
        <f>50</f>
        <v>50</v>
      </c>
      <c r="J3" s="138">
        <f>51</f>
        <v>51</v>
      </c>
      <c r="K3" s="137">
        <f>55.5+50</f>
        <v>105.5</v>
      </c>
      <c r="L3" s="137">
        <f>55.5</f>
        <v>55.5</v>
      </c>
      <c r="M3" s="137">
        <f>47.5+50</f>
        <v>97.5</v>
      </c>
      <c r="N3" s="139">
        <f>SUM(B3:M3)</f>
        <v>1197.7</v>
      </c>
    </row>
    <row r="4" spans="1:14" ht="15">
      <c r="A4" s="135" t="s">
        <v>25</v>
      </c>
      <c r="B4" s="140">
        <f aca="true" t="shared" si="0" ref="B4:N4">B3/B2*100</f>
        <v>15.269461077844312</v>
      </c>
      <c r="C4" s="141">
        <f t="shared" si="0"/>
        <v>13.268495428096427</v>
      </c>
      <c r="D4" s="141">
        <f t="shared" si="0"/>
        <v>13.834774255523536</v>
      </c>
      <c r="E4" s="141">
        <f t="shared" si="0"/>
        <v>13.341645885286782</v>
      </c>
      <c r="F4" s="141">
        <f t="shared" si="0"/>
        <v>13.481012658227847</v>
      </c>
      <c r="G4" s="141">
        <f t="shared" si="0"/>
        <v>13.549019607843139</v>
      </c>
      <c r="H4" s="141">
        <f t="shared" si="0"/>
        <v>13.58974358974359</v>
      </c>
      <c r="I4" s="141">
        <f t="shared" si="0"/>
        <v>10.964912280701753</v>
      </c>
      <c r="J4" s="141">
        <f t="shared" si="0"/>
        <v>12.814070351758794</v>
      </c>
      <c r="K4" s="141">
        <f t="shared" si="0"/>
        <v>12.665066026410566</v>
      </c>
      <c r="L4" s="141">
        <f t="shared" si="0"/>
        <v>12.729357798165136</v>
      </c>
      <c r="M4" s="141">
        <f t="shared" si="0"/>
        <v>11.861313868613138</v>
      </c>
      <c r="N4" s="142">
        <f t="shared" si="0"/>
        <v>13.144205443371378</v>
      </c>
    </row>
    <row r="5" spans="1:14" ht="15" hidden="1">
      <c r="A5" s="135" t="s">
        <v>11</v>
      </c>
      <c r="B5" s="140">
        <f aca="true" t="shared" si="1" ref="B5:M5">C5</f>
        <v>13.144205443371378</v>
      </c>
      <c r="C5" s="141">
        <f t="shared" si="1"/>
        <v>13.144205443371378</v>
      </c>
      <c r="D5" s="141">
        <f t="shared" si="1"/>
        <v>13.144205443371378</v>
      </c>
      <c r="E5" s="141">
        <f t="shared" si="1"/>
        <v>13.144205443371378</v>
      </c>
      <c r="F5" s="141">
        <f t="shared" si="1"/>
        <v>13.144205443371378</v>
      </c>
      <c r="G5" s="141">
        <f t="shared" si="1"/>
        <v>13.144205443371378</v>
      </c>
      <c r="H5" s="141">
        <f t="shared" si="1"/>
        <v>13.144205443371378</v>
      </c>
      <c r="I5" s="141">
        <f t="shared" si="1"/>
        <v>13.144205443371378</v>
      </c>
      <c r="J5" s="141">
        <f t="shared" si="1"/>
        <v>13.144205443371378</v>
      </c>
      <c r="K5" s="141">
        <f t="shared" si="1"/>
        <v>13.144205443371378</v>
      </c>
      <c r="L5" s="141">
        <f t="shared" si="1"/>
        <v>13.144205443371378</v>
      </c>
      <c r="M5" s="141">
        <f t="shared" si="1"/>
        <v>13.144205443371378</v>
      </c>
      <c r="N5" s="142">
        <f>N4</f>
        <v>13.144205443371378</v>
      </c>
    </row>
    <row r="6" spans="1:14" s="117" customFormat="1" ht="15">
      <c r="A6" s="143" t="s">
        <v>12</v>
      </c>
      <c r="B6" s="144">
        <v>52.4</v>
      </c>
      <c r="C6" s="145">
        <f>61+46.8+55.05</f>
        <v>162.85</v>
      </c>
      <c r="D6" s="145">
        <f>50+55.55+41.54</f>
        <v>147.09</v>
      </c>
      <c r="E6" s="145">
        <f>58.5+52+57.2</f>
        <v>167.7</v>
      </c>
      <c r="F6" s="145">
        <f>59.89+54.5</f>
        <v>114.39</v>
      </c>
      <c r="G6" s="145">
        <f>60+59.4</f>
        <v>119.4</v>
      </c>
      <c r="H6" s="145">
        <f>54.6+58.32</f>
        <v>112.92</v>
      </c>
      <c r="I6" s="145">
        <f>54</f>
        <v>54</v>
      </c>
      <c r="J6" s="145">
        <f>54.57</f>
        <v>54.57</v>
      </c>
      <c r="K6" s="145">
        <f>62.66+55</f>
        <v>117.66</v>
      </c>
      <c r="L6" s="145">
        <f>59.39</f>
        <v>59.39</v>
      </c>
      <c r="M6" s="145">
        <f>55.86+51.25</f>
        <v>107.11</v>
      </c>
      <c r="N6" s="146">
        <f>SUM(B6:M6)</f>
        <v>1269.48</v>
      </c>
    </row>
    <row r="7" spans="1:14" ht="15.75" thickBot="1">
      <c r="A7" s="147" t="s">
        <v>26</v>
      </c>
      <c r="B7" s="148">
        <f>B6/B3</f>
        <v>1.0274509803921568</v>
      </c>
      <c r="C7" s="149">
        <f aca="true" t="shared" si="2" ref="C7:N7">C6/C3</f>
        <v>1.0202355594537025</v>
      </c>
      <c r="D7" s="149">
        <f t="shared" si="2"/>
        <v>1.0213164838216915</v>
      </c>
      <c r="E7" s="149">
        <f t="shared" si="2"/>
        <v>1.044859813084112</v>
      </c>
      <c r="F7" s="149">
        <f t="shared" si="2"/>
        <v>1.0740845070422536</v>
      </c>
      <c r="G7" s="149">
        <f t="shared" si="2"/>
        <v>1.0799565846599133</v>
      </c>
      <c r="H7" s="149">
        <f t="shared" si="2"/>
        <v>1.0652830188679245</v>
      </c>
      <c r="I7" s="149">
        <f t="shared" si="2"/>
        <v>1.08</v>
      </c>
      <c r="J7" s="149">
        <f t="shared" si="2"/>
        <v>1.07</v>
      </c>
      <c r="K7" s="149">
        <f t="shared" si="2"/>
        <v>1.115260663507109</v>
      </c>
      <c r="L7" s="149">
        <f t="shared" si="2"/>
        <v>1.07009009009009</v>
      </c>
      <c r="M7" s="149">
        <f t="shared" si="2"/>
        <v>1.0985641025641026</v>
      </c>
      <c r="N7" s="150">
        <f t="shared" si="2"/>
        <v>1.0599315354429322</v>
      </c>
    </row>
    <row r="8" spans="1:14" ht="0.75" customHeight="1">
      <c r="A8" s="151" t="s">
        <v>11</v>
      </c>
      <c r="B8" s="152">
        <f>N7</f>
        <v>1.0599315354429322</v>
      </c>
      <c r="C8" s="152">
        <f>N7</f>
        <v>1.0599315354429322</v>
      </c>
      <c r="D8" s="152">
        <f>N7</f>
        <v>1.0599315354429322</v>
      </c>
      <c r="E8" s="152">
        <f>N7</f>
        <v>1.0599315354429322</v>
      </c>
      <c r="F8" s="152">
        <f>N7</f>
        <v>1.0599315354429322</v>
      </c>
      <c r="G8" s="152">
        <f>N7</f>
        <v>1.0599315354429322</v>
      </c>
      <c r="H8" s="152">
        <f>N7</f>
        <v>1.0599315354429322</v>
      </c>
      <c r="I8" s="152">
        <f>N7</f>
        <v>1.0599315354429322</v>
      </c>
      <c r="J8" s="152">
        <f>N7</f>
        <v>1.0599315354429322</v>
      </c>
      <c r="K8" s="152">
        <f>N7</f>
        <v>1.0599315354429322</v>
      </c>
      <c r="L8" s="152">
        <f>N7</f>
        <v>1.0599315354429322</v>
      </c>
      <c r="M8" s="152">
        <f>N7</f>
        <v>1.0599315354429322</v>
      </c>
      <c r="N8" s="152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zoomScale="90" zoomScaleNormal="90" workbookViewId="0" topLeftCell="A1">
      <selection activeCell="M2" sqref="M2"/>
    </sheetView>
  </sheetViews>
  <sheetFormatPr defaultColWidth="11.421875" defaultRowHeight="12.75"/>
  <cols>
    <col min="1" max="1" width="10.8515625" style="0" bestFit="1" customWidth="1"/>
    <col min="2" max="2" width="9.140625" style="0" bestFit="1" customWidth="1"/>
    <col min="3" max="11" width="8.7109375" style="0" bestFit="1" customWidth="1"/>
    <col min="12" max="12" width="8.28125" style="0" bestFit="1" customWidth="1"/>
    <col min="13" max="14" width="10.28125" style="0" bestFit="1" customWidth="1"/>
  </cols>
  <sheetData>
    <row r="1" spans="1:14" s="26" customFormat="1" ht="13.5" thickBot="1">
      <c r="A1" s="27">
        <v>2005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9</v>
      </c>
      <c r="G1" s="28" t="s">
        <v>17</v>
      </c>
      <c r="H1" s="28" t="s">
        <v>18</v>
      </c>
      <c r="I1" s="28" t="s">
        <v>19</v>
      </c>
      <c r="J1" s="28" t="s">
        <v>20</v>
      </c>
      <c r="K1" s="28" t="s">
        <v>21</v>
      </c>
      <c r="L1" s="28" t="s">
        <v>22</v>
      </c>
      <c r="M1" s="28" t="s">
        <v>23</v>
      </c>
      <c r="N1" s="29" t="s">
        <v>10</v>
      </c>
    </row>
    <row r="2" spans="1:14" ht="12.75">
      <c r="A2" s="12" t="s">
        <v>24</v>
      </c>
      <c r="B2" s="2">
        <v>386</v>
      </c>
      <c r="C2" s="2">
        <f>286+534+571+112+502+240</f>
        <v>2245</v>
      </c>
      <c r="D2" s="2">
        <f>418</f>
        <v>418</v>
      </c>
      <c r="E2" s="2">
        <v>351</v>
      </c>
      <c r="F2" s="2">
        <f>454+295</f>
        <v>749</v>
      </c>
      <c r="G2" s="2">
        <v>878</v>
      </c>
      <c r="H2" s="3">
        <v>405</v>
      </c>
      <c r="I2" s="2">
        <f>505</f>
        <v>505</v>
      </c>
      <c r="J2" s="4">
        <f>433+349</f>
        <v>782</v>
      </c>
      <c r="K2" s="2">
        <f>307+510+282</f>
        <v>1099</v>
      </c>
      <c r="L2" s="2">
        <v>391</v>
      </c>
      <c r="M2" s="2">
        <f>325+312+510+248+538</f>
        <v>1933</v>
      </c>
      <c r="N2" s="5">
        <f>SUM(B2:M2)</f>
        <v>10142</v>
      </c>
    </row>
    <row r="3" spans="1:14" ht="12.75">
      <c r="A3" s="12" t="s">
        <v>4</v>
      </c>
      <c r="B3" s="2">
        <v>51</v>
      </c>
      <c r="C3" s="2">
        <f>42+52+53.5+15+51+27</f>
        <v>240.5</v>
      </c>
      <c r="D3" s="2">
        <f>53</f>
        <v>53</v>
      </c>
      <c r="E3" s="2">
        <v>54</v>
      </c>
      <c r="F3" s="2">
        <f>51+30.5</f>
        <v>81.5</v>
      </c>
      <c r="G3" s="2">
        <v>100</v>
      </c>
      <c r="H3" s="2">
        <v>52</v>
      </c>
      <c r="I3" s="2">
        <f>50</f>
        <v>50</v>
      </c>
      <c r="J3" s="4">
        <f>53+51</f>
        <v>104</v>
      </c>
      <c r="K3" s="2">
        <f>49.5+51+28.5</f>
        <v>129</v>
      </c>
      <c r="L3" s="2">
        <v>55.01</v>
      </c>
      <c r="M3" s="2">
        <f>50+38+50+26.25+52.5</f>
        <v>216.75</v>
      </c>
      <c r="N3" s="5">
        <f>SUM(B3:M3)</f>
        <v>1186.76</v>
      </c>
    </row>
    <row r="4" spans="1:14" ht="12.75">
      <c r="A4" s="12" t="s">
        <v>25</v>
      </c>
      <c r="B4" s="6">
        <f aca="true" t="shared" si="0" ref="B4:N4">B3/B2*100</f>
        <v>13.21243523316062</v>
      </c>
      <c r="C4" s="6">
        <f t="shared" si="0"/>
        <v>10.71269487750557</v>
      </c>
      <c r="D4" s="6">
        <f t="shared" si="0"/>
        <v>12.679425837320574</v>
      </c>
      <c r="E4" s="6">
        <f t="shared" si="0"/>
        <v>15.384615384615385</v>
      </c>
      <c r="F4" s="6">
        <f t="shared" si="0"/>
        <v>10.881174899866489</v>
      </c>
      <c r="G4" s="6">
        <f t="shared" si="0"/>
        <v>11.389521640091116</v>
      </c>
      <c r="H4" s="6">
        <f t="shared" si="0"/>
        <v>12.839506172839506</v>
      </c>
      <c r="I4" s="6">
        <f t="shared" si="0"/>
        <v>9.900990099009901</v>
      </c>
      <c r="J4" s="6">
        <f t="shared" si="0"/>
        <v>13.299232736572892</v>
      </c>
      <c r="K4" s="6">
        <f t="shared" si="0"/>
        <v>11.737943585077343</v>
      </c>
      <c r="L4" s="6">
        <f t="shared" si="0"/>
        <v>14.069053708439897</v>
      </c>
      <c r="M4" s="6">
        <f t="shared" si="0"/>
        <v>11.213140196585618</v>
      </c>
      <c r="N4" s="7">
        <f t="shared" si="0"/>
        <v>11.701439558272531</v>
      </c>
    </row>
    <row r="5" spans="1:14" ht="12.75" hidden="1">
      <c r="A5" s="12" t="s">
        <v>11</v>
      </c>
      <c r="B5" s="6">
        <f aca="true" t="shared" si="1" ref="B5:M5">C5</f>
        <v>11.701439558272531</v>
      </c>
      <c r="C5" s="6">
        <f t="shared" si="1"/>
        <v>11.701439558272531</v>
      </c>
      <c r="D5" s="6">
        <f t="shared" si="1"/>
        <v>11.701439558272531</v>
      </c>
      <c r="E5" s="6">
        <f t="shared" si="1"/>
        <v>11.701439558272531</v>
      </c>
      <c r="F5" s="6">
        <f t="shared" si="1"/>
        <v>11.701439558272531</v>
      </c>
      <c r="G5" s="6">
        <f t="shared" si="1"/>
        <v>11.701439558272531</v>
      </c>
      <c r="H5" s="6">
        <f t="shared" si="1"/>
        <v>11.701439558272531</v>
      </c>
      <c r="I5" s="6">
        <f t="shared" si="1"/>
        <v>11.701439558272531</v>
      </c>
      <c r="J5" s="6">
        <f t="shared" si="1"/>
        <v>11.701439558272531</v>
      </c>
      <c r="K5" s="6">
        <f t="shared" si="1"/>
        <v>11.701439558272531</v>
      </c>
      <c r="L5" s="6">
        <f t="shared" si="1"/>
        <v>11.701439558272531</v>
      </c>
      <c r="M5" s="6">
        <f t="shared" si="1"/>
        <v>11.701439558272531</v>
      </c>
      <c r="N5" s="7">
        <f>N4</f>
        <v>11.701439558272531</v>
      </c>
    </row>
    <row r="6" spans="1:14" ht="12.75">
      <c r="A6" s="12" t="s">
        <v>12</v>
      </c>
      <c r="B6" s="66">
        <v>54.83</v>
      </c>
      <c r="C6" s="66">
        <f>44.81+61.36+60.88+17.07+60.69+29.97</f>
        <v>274.78</v>
      </c>
      <c r="D6" s="66">
        <f>58.3</f>
        <v>58.3</v>
      </c>
      <c r="E6" s="66">
        <v>64.18</v>
      </c>
      <c r="F6" s="66">
        <f>55.14+33.73</f>
        <v>88.87</v>
      </c>
      <c r="G6" s="66">
        <f>66.99+50</f>
        <v>116.99</v>
      </c>
      <c r="H6" s="66">
        <v>61.88</v>
      </c>
      <c r="I6" s="66">
        <f>60.95</f>
        <v>60.95</v>
      </c>
      <c r="J6" s="66">
        <f>69.43+63.75</f>
        <v>133.18</v>
      </c>
      <c r="K6" s="66">
        <f>60.39+68.6+33.03</f>
        <v>162.02</v>
      </c>
      <c r="L6" s="66">
        <v>62.66</v>
      </c>
      <c r="M6" s="66">
        <f>57.5+45.49+61.15+31.71+60.9</f>
        <v>256.75</v>
      </c>
      <c r="N6" s="67">
        <f>SUM(B6:M6)</f>
        <v>1395.39</v>
      </c>
    </row>
    <row r="7" spans="1:14" ht="13.5" thickBot="1">
      <c r="A7" s="13" t="s">
        <v>26</v>
      </c>
      <c r="B7" s="68">
        <f aca="true" t="shared" si="2" ref="B7:N7">B6/B3</f>
        <v>1.0750980392156861</v>
      </c>
      <c r="C7" s="68">
        <f t="shared" si="2"/>
        <v>1.1425363825363823</v>
      </c>
      <c r="D7" s="68">
        <f t="shared" si="2"/>
        <v>1.0999999999999999</v>
      </c>
      <c r="E7" s="68">
        <f t="shared" si="2"/>
        <v>1.1885185185185188</v>
      </c>
      <c r="F7" s="68">
        <f t="shared" si="2"/>
        <v>1.0904294478527607</v>
      </c>
      <c r="G7" s="68">
        <f t="shared" si="2"/>
        <v>1.1699</v>
      </c>
      <c r="H7" s="68">
        <f t="shared" si="2"/>
        <v>1.19</v>
      </c>
      <c r="I7" s="68">
        <f t="shared" si="2"/>
        <v>1.219</v>
      </c>
      <c r="J7" s="68">
        <f t="shared" si="2"/>
        <v>1.280576923076923</v>
      </c>
      <c r="K7" s="68">
        <f t="shared" si="2"/>
        <v>1.2559689922480621</v>
      </c>
      <c r="L7" s="68">
        <f t="shared" si="2"/>
        <v>1.1390656244319215</v>
      </c>
      <c r="M7" s="68">
        <f t="shared" si="2"/>
        <v>1.1845444059976933</v>
      </c>
      <c r="N7" s="69">
        <f t="shared" si="2"/>
        <v>1.1757979709461055</v>
      </c>
    </row>
    <row r="8" spans="1:14" ht="0.75" customHeight="1">
      <c r="A8" s="9" t="s">
        <v>11</v>
      </c>
      <c r="B8" s="10">
        <f>N7</f>
        <v>1.1757979709461055</v>
      </c>
      <c r="C8" s="10">
        <f>N7</f>
        <v>1.1757979709461055</v>
      </c>
      <c r="D8" s="10">
        <f>N7</f>
        <v>1.1757979709461055</v>
      </c>
      <c r="E8" s="10">
        <f>N7</f>
        <v>1.1757979709461055</v>
      </c>
      <c r="F8" s="10">
        <f>N7</f>
        <v>1.1757979709461055</v>
      </c>
      <c r="G8" s="10">
        <f>N7</f>
        <v>1.1757979709461055</v>
      </c>
      <c r="H8" s="10">
        <f>N7</f>
        <v>1.1757979709461055</v>
      </c>
      <c r="I8" s="10">
        <f>N7</f>
        <v>1.1757979709461055</v>
      </c>
      <c r="J8" s="10">
        <f>N7</f>
        <v>1.1757979709461055</v>
      </c>
      <c r="K8" s="10">
        <f>N7</f>
        <v>1.1757979709461055</v>
      </c>
      <c r="L8" s="10">
        <f>N7</f>
        <v>1.1757979709461055</v>
      </c>
      <c r="M8" s="10">
        <f>N7</f>
        <v>1.1757979709461055</v>
      </c>
      <c r="N8" s="10"/>
    </row>
  </sheetData>
  <printOptions horizontalCentered="1" verticalCentered="1"/>
  <pageMargins left="0.07874015748031496" right="0.1968503937007874" top="0.4330708661417323" bottom="0.5118110236220472" header="0.1968503937007874" footer="0.15748031496062992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80" zoomScaleNormal="80" workbookViewId="0" topLeftCell="A1">
      <selection activeCell="C7" sqref="C7"/>
    </sheetView>
  </sheetViews>
  <sheetFormatPr defaultColWidth="11.421875" defaultRowHeight="12.75"/>
  <cols>
    <col min="1" max="13" width="12.8515625" style="0" customWidth="1"/>
    <col min="14" max="14" width="10.00390625" style="0" customWidth="1"/>
  </cols>
  <sheetData>
    <row r="1" spans="1:14" s="26" customFormat="1" ht="13.5" thickBot="1">
      <c r="A1" s="27">
        <v>2006</v>
      </c>
      <c r="B1" s="28" t="s">
        <v>13</v>
      </c>
      <c r="C1" s="28" t="s">
        <v>14</v>
      </c>
      <c r="D1" s="28" t="s">
        <v>15</v>
      </c>
      <c r="E1" s="28" t="s">
        <v>16</v>
      </c>
      <c r="F1" s="28" t="s">
        <v>9</v>
      </c>
      <c r="G1" s="28" t="s">
        <v>17</v>
      </c>
      <c r="H1" s="28" t="s">
        <v>18</v>
      </c>
      <c r="I1" s="28" t="s">
        <v>19</v>
      </c>
      <c r="J1" s="28" t="s">
        <v>20</v>
      </c>
      <c r="K1" s="28" t="s">
        <v>21</v>
      </c>
      <c r="L1" s="28" t="s">
        <v>22</v>
      </c>
      <c r="M1" s="28" t="s">
        <v>23</v>
      </c>
      <c r="N1" s="29" t="s">
        <v>10</v>
      </c>
    </row>
    <row r="2" spans="1:14" ht="12.75">
      <c r="A2" s="12" t="s">
        <v>24</v>
      </c>
      <c r="B2" s="2">
        <f>368</f>
        <v>368</v>
      </c>
      <c r="C2" s="2">
        <f>346+262+540+460</f>
        <v>1608</v>
      </c>
      <c r="D2" s="2">
        <v>0</v>
      </c>
      <c r="E2" s="2">
        <v>0</v>
      </c>
      <c r="F2" s="2">
        <v>0</v>
      </c>
      <c r="G2" s="2">
        <v>0</v>
      </c>
      <c r="H2" s="3">
        <v>0</v>
      </c>
      <c r="I2" s="2">
        <v>0</v>
      </c>
      <c r="J2" s="4">
        <v>0</v>
      </c>
      <c r="K2" s="2">
        <v>0</v>
      </c>
      <c r="L2" s="2">
        <v>0</v>
      </c>
      <c r="M2" s="2">
        <v>0</v>
      </c>
      <c r="N2" s="5">
        <f>SUM(B2:M2)</f>
        <v>1976</v>
      </c>
    </row>
    <row r="3" spans="1:14" ht="12.75">
      <c r="A3" s="12" t="s">
        <v>4</v>
      </c>
      <c r="B3" s="2">
        <v>55</v>
      </c>
      <c r="C3" s="2">
        <f>49.5+29.5+51.5+49.5</f>
        <v>180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4">
        <v>0</v>
      </c>
      <c r="K3" s="2">
        <v>0</v>
      </c>
      <c r="L3" s="2">
        <v>0</v>
      </c>
      <c r="M3" s="2">
        <v>0</v>
      </c>
      <c r="N3" s="5">
        <f>SUM(B3:M3)</f>
        <v>235</v>
      </c>
    </row>
    <row r="4" spans="1:14" ht="12.75">
      <c r="A4" s="12" t="s">
        <v>25</v>
      </c>
      <c r="B4" s="6">
        <f aca="true" t="shared" si="0" ref="B4:N4">B3/B2*100</f>
        <v>14.945652173913043</v>
      </c>
      <c r="C4" s="6">
        <f t="shared" si="0"/>
        <v>11.194029850746269</v>
      </c>
      <c r="D4" s="6" t="e">
        <f t="shared" si="0"/>
        <v>#DIV/0!</v>
      </c>
      <c r="E4" s="6" t="e">
        <f t="shared" si="0"/>
        <v>#DIV/0!</v>
      </c>
      <c r="F4" s="6" t="e">
        <f t="shared" si="0"/>
        <v>#DIV/0!</v>
      </c>
      <c r="G4" s="6" t="e">
        <f t="shared" si="0"/>
        <v>#DIV/0!</v>
      </c>
      <c r="H4" s="6" t="e">
        <f t="shared" si="0"/>
        <v>#DIV/0!</v>
      </c>
      <c r="I4" s="6" t="e">
        <f t="shared" si="0"/>
        <v>#DIV/0!</v>
      </c>
      <c r="J4" s="6" t="e">
        <f t="shared" si="0"/>
        <v>#DIV/0!</v>
      </c>
      <c r="K4" s="6" t="e">
        <f t="shared" si="0"/>
        <v>#DIV/0!</v>
      </c>
      <c r="L4" s="6" t="e">
        <f t="shared" si="0"/>
        <v>#DIV/0!</v>
      </c>
      <c r="M4" s="6" t="e">
        <f t="shared" si="0"/>
        <v>#DIV/0!</v>
      </c>
      <c r="N4" s="7">
        <f t="shared" si="0"/>
        <v>11.892712550607287</v>
      </c>
    </row>
    <row r="5" spans="1:14" ht="12.75" hidden="1">
      <c r="A5" s="12" t="s">
        <v>11</v>
      </c>
      <c r="B5" s="6">
        <f aca="true" t="shared" si="1" ref="B5:M5">C5</f>
        <v>11.892712550607287</v>
      </c>
      <c r="C5" s="6">
        <f t="shared" si="1"/>
        <v>11.892712550607287</v>
      </c>
      <c r="D5" s="6">
        <f t="shared" si="1"/>
        <v>11.892712550607287</v>
      </c>
      <c r="E5" s="6">
        <f t="shared" si="1"/>
        <v>11.892712550607287</v>
      </c>
      <c r="F5" s="6">
        <f t="shared" si="1"/>
        <v>11.892712550607287</v>
      </c>
      <c r="G5" s="6">
        <f t="shared" si="1"/>
        <v>11.892712550607287</v>
      </c>
      <c r="H5" s="6">
        <f t="shared" si="1"/>
        <v>11.892712550607287</v>
      </c>
      <c r="I5" s="6">
        <f t="shared" si="1"/>
        <v>11.892712550607287</v>
      </c>
      <c r="J5" s="6">
        <f t="shared" si="1"/>
        <v>11.892712550607287</v>
      </c>
      <c r="K5" s="6">
        <f t="shared" si="1"/>
        <v>11.892712550607287</v>
      </c>
      <c r="L5" s="6">
        <f t="shared" si="1"/>
        <v>11.892712550607287</v>
      </c>
      <c r="M5" s="6">
        <f t="shared" si="1"/>
        <v>11.892712550607287</v>
      </c>
      <c r="N5" s="7">
        <f>N4</f>
        <v>11.892712550607287</v>
      </c>
    </row>
    <row r="6" spans="1:14" ht="12.75">
      <c r="A6" s="12" t="s">
        <v>12</v>
      </c>
      <c r="B6" s="66">
        <v>65.51</v>
      </c>
      <c r="C6" s="66">
        <f>60.39+37.44+65.92+60.34</f>
        <v>224.09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70">
        <f>SUM(B6:M6)</f>
        <v>289.6</v>
      </c>
    </row>
    <row r="7" spans="1:14" ht="13.5" thickBot="1">
      <c r="A7" s="13" t="s">
        <v>26</v>
      </c>
      <c r="B7" s="68">
        <f aca="true" t="shared" si="2" ref="B7:N7">B6/B3</f>
        <v>1.1910909090909092</v>
      </c>
      <c r="C7" s="68">
        <f t="shared" si="2"/>
        <v>1.2449444444444444</v>
      </c>
      <c r="D7" s="68" t="e">
        <f t="shared" si="2"/>
        <v>#DIV/0!</v>
      </c>
      <c r="E7" s="68" t="e">
        <f t="shared" si="2"/>
        <v>#DIV/0!</v>
      </c>
      <c r="F7" s="68" t="e">
        <f t="shared" si="2"/>
        <v>#DIV/0!</v>
      </c>
      <c r="G7" s="68" t="e">
        <f t="shared" si="2"/>
        <v>#DIV/0!</v>
      </c>
      <c r="H7" s="68" t="e">
        <f t="shared" si="2"/>
        <v>#DIV/0!</v>
      </c>
      <c r="I7" s="68" t="e">
        <f t="shared" si="2"/>
        <v>#DIV/0!</v>
      </c>
      <c r="J7" s="68" t="e">
        <f t="shared" si="2"/>
        <v>#DIV/0!</v>
      </c>
      <c r="K7" s="68" t="e">
        <f t="shared" si="2"/>
        <v>#DIV/0!</v>
      </c>
      <c r="L7" s="68" t="e">
        <f t="shared" si="2"/>
        <v>#DIV/0!</v>
      </c>
      <c r="M7" s="68" t="e">
        <f t="shared" si="2"/>
        <v>#DIV/0!</v>
      </c>
      <c r="N7" s="69">
        <f t="shared" si="2"/>
        <v>1.232340425531915</v>
      </c>
    </row>
    <row r="8" spans="1:14" ht="0.75" customHeight="1">
      <c r="A8" s="9" t="s">
        <v>11</v>
      </c>
      <c r="B8" s="10">
        <f>N7</f>
        <v>1.232340425531915</v>
      </c>
      <c r="C8" s="10">
        <f>N7</f>
        <v>1.232340425531915</v>
      </c>
      <c r="D8" s="10">
        <f>N7</f>
        <v>1.232340425531915</v>
      </c>
      <c r="E8" s="10">
        <f>N7</f>
        <v>1.232340425531915</v>
      </c>
      <c r="F8" s="10">
        <f>N7</f>
        <v>1.232340425531915</v>
      </c>
      <c r="G8" s="10">
        <f>N7</f>
        <v>1.232340425531915</v>
      </c>
      <c r="H8" s="10">
        <f>N7</f>
        <v>1.232340425531915</v>
      </c>
      <c r="I8" s="10">
        <f>N7</f>
        <v>1.232340425531915</v>
      </c>
      <c r="J8" s="10">
        <f>N7</f>
        <v>1.232340425531915</v>
      </c>
      <c r="K8" s="10">
        <f>N7</f>
        <v>1.232340425531915</v>
      </c>
      <c r="L8" s="10">
        <f>N7</f>
        <v>1.232340425531915</v>
      </c>
      <c r="M8" s="10">
        <f>N7</f>
        <v>1.232340425531915</v>
      </c>
      <c r="N8" s="10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Consommations mensuelles ZX</dc:title>
  <dc:subject>ZX</dc:subject>
  <dc:creator>Denis Roditi</dc:creator>
  <cp:keywords/>
  <dc:description/>
  <cp:lastModifiedBy>Denis Roditi</cp:lastModifiedBy>
  <cp:lastPrinted>2004-03-11T10:18:17Z</cp:lastPrinted>
  <dcterms:created xsi:type="dcterms:W3CDTF">1999-12-30T09:51:03Z</dcterms:created>
  <dcterms:modified xsi:type="dcterms:W3CDTF">2006-02-15T16:46:27Z</dcterms:modified>
  <cp:category/>
  <cp:version/>
  <cp:contentType/>
  <cp:contentStatus/>
</cp:coreProperties>
</file>